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Tony Hays\Aircraft Design\Spreadsheets\Sizing and Performance\"/>
    </mc:Choice>
  </mc:AlternateContent>
  <bookViews>
    <workbookView xWindow="15645" yWindow="-15" windowWidth="9315" windowHeight="9165" tabRatio="677" firstSheet="1" activeTab="4"/>
  </bookViews>
  <sheets>
    <sheet name="UCAV" sheetId="1" r:id="rId1"/>
    <sheet name="Mission" sheetId="14" r:id="rId2"/>
    <sheet name="Baseline" sheetId="12" r:id="rId3"/>
    <sheet name="Aerodynamics" sheetId="13" r:id="rId4"/>
    <sheet name="Performance" sheetId="15" r:id="rId5"/>
    <sheet name="Acceleration" sheetId="19" r:id="rId6"/>
    <sheet name="Wt &amp; Balance" sheetId="17" r:id="rId7"/>
    <sheet name="Propulsion" sheetId="18" r:id="rId8"/>
    <sheet name="Atmosphere" sheetId="16" r:id="rId9"/>
    <sheet name="ToW vs WoS(MIL)" sheetId="5" r:id="rId10"/>
    <sheet name="ToW vs WoS (CIVIL)" sheetId="6" r:id="rId11"/>
    <sheet name="Struct. Wt. Pie" sheetId="7" r:id="rId12"/>
    <sheet name="Drag Polars" sheetId="8" r:id="rId13"/>
    <sheet name="Drag Pie Chart" sheetId="9" r:id="rId14"/>
    <sheet name="Drag Bar Chart" sheetId="10" r:id="rId15"/>
    <sheet name="Balance Plot" sheetId="11" r:id="rId16"/>
  </sheets>
  <definedNames>
    <definedName name="\f">UCAV!$J$2</definedName>
    <definedName name="\g">UCAV!$J$2</definedName>
    <definedName name="__123Graph_A" hidden="1">UCAV!#REF!</definedName>
    <definedName name="__123Graph_B" hidden="1">UCAV!#REF!</definedName>
    <definedName name="__123Graph_LBL_A" hidden="1">UCAV!#REF!</definedName>
    <definedName name="__123Graph_LBL_B" hidden="1">UCAV!#REF!</definedName>
    <definedName name="__123Graph_X" hidden="1">UCAV!#REF!</definedName>
    <definedName name="_1__123Graph_ABALANCE_PLOT" hidden="1">'Wt &amp; Balance'!$B$160:$B$165</definedName>
    <definedName name="_10__123Graph_BDRAG_POLARS" hidden="1">Aerodynamics!$C$56:$CO$56</definedName>
    <definedName name="_11__123Graph_BSTRUC._WEIT_PIE" hidden="1">UCAV!#REF!</definedName>
    <definedName name="_12__123Graph_BT_W_VS_W_S_FAR" hidden="1">Performance!$C$51:$Z$51</definedName>
    <definedName name="_13__123Graph_BT_W_VS_W_S_MIL" hidden="1">Performance!$C$50:$Z$50</definedName>
    <definedName name="_14__123Graph_BWE_FRACTIONS" hidden="1">UCAV!#REF!</definedName>
    <definedName name="_15__123Graph_BWE_REQ_D___AVAL" hidden="1">UCAV!#REF!</definedName>
    <definedName name="_16__123Graph_CSTRUC._WEIT_PIE" hidden="1">UCAV!#REF!</definedName>
    <definedName name="_17__123Graph_CT_W_VS_W_S_FAR" hidden="1">Performance!$C$53:$X$53</definedName>
    <definedName name="_18__123Graph_CT_W_VS_W_S_MIL" hidden="1">Performance!$C$57:$AB$57</definedName>
    <definedName name="_19__123Graph_DSTRUC._WEIT_PIE" hidden="1">UCAV!#REF!</definedName>
    <definedName name="_2__123Graph_ADRAG_BAR_CHART" hidden="1">Aerodynamics!$J$21:$J$25</definedName>
    <definedName name="_20__123Graph_DT_W_VS_W_S_FAR" hidden="1">Performance!$C$55:$X$55</definedName>
    <definedName name="_21__123Graph_DT_W_VS_W_S_MIL" hidden="1">Performance!$C$58:$X$58</definedName>
    <definedName name="_22__123Graph_DWE_FRACTIONS" hidden="1">UCAV!#REF!</definedName>
    <definedName name="_23__123Graph_ESTRUC._WEIT_PIE" hidden="1">UCAV!#REF!</definedName>
    <definedName name="_24__123Graph_ET_W_VS_W_S_MIL" hidden="1">Performance!$C$59:$X$59</definedName>
    <definedName name="_25__123Graph_FSTRUC._WEIT_PIE" hidden="1">UCAV!#REF!</definedName>
    <definedName name="_26__123Graph_FT_W_VS_W_S_MIL" hidden="1">Performance!$C$55:$X$55</definedName>
    <definedName name="_27__123Graph_LBL_ABALANCE_PLOT" hidden="1">'Wt &amp; Balance'!$A$160:$A$164</definedName>
    <definedName name="_28__123Graph_LBL_ADRAG_POLARS" hidden="1">Aerodynamics!$C$57:$AX$57</definedName>
    <definedName name="_29__123Graph_LBL_AT_W_VS_W_S_FAR" hidden="1">Performance!$A$80:$J$80</definedName>
    <definedName name="_3__123Graph_ADRAG_PIE_CHART" hidden="1">Aerodynamics!$J$21:$J$25</definedName>
    <definedName name="_30__123Graph_LBL_AT_W_VS_W_S_MIL" hidden="1">Performance!$A$75:$D$75</definedName>
    <definedName name="_31__123Graph_LBL_AWE_FRACTIONS" hidden="1">UCAV!#REF!</definedName>
    <definedName name="_32__123Graph_LBL_AWE_REQ_D___AVAL" hidden="1">UCAV!#REF!</definedName>
    <definedName name="_33__123Graph_LBL_BDRAG_POLARS" hidden="1">UCAV!$C$60:$AX$60</definedName>
    <definedName name="_34__123Graph_LBL_BT_W_VS_W_S_FAR" hidden="1">Performance!$C$44:$Y$44</definedName>
    <definedName name="_35__123Graph_LBL_BT_W_VS_W_S_MIL" hidden="1">Performance!$C$44:$Y$44</definedName>
    <definedName name="_36__123Graph_LBL_BWE_FRACTIONS" hidden="1">UCAV!#REF!</definedName>
    <definedName name="_37__123Graph_LBL_BWE_REQ_D___AVAL" hidden="1">UCAV!#REF!</definedName>
    <definedName name="_38__123Graph_LBL_CT_W_VS_W_S_FAR" hidden="1">Performance!$A$79:$C$79</definedName>
    <definedName name="_39__123Graph_LBL_CT_W_VS_W_S_MIL" hidden="1">Performance!$C$43:$AB$43</definedName>
    <definedName name="_4__123Graph_ADRAG_POLARS" hidden="1">Aerodynamics!$C$55:$CO$55</definedName>
    <definedName name="_40__123Graph_LBL_CWE_FRACTIONS" hidden="1">UCAV!#REF!</definedName>
    <definedName name="_41__123Graph_LBL_DT_W_VS_W_S_FAR" hidden="1">Performance!$A$78:$P$78</definedName>
    <definedName name="_42__123Graph_LBL_DT_W_VS_W_S_MIL" hidden="1">Performance!$A$76:$L$76</definedName>
    <definedName name="_43__123Graph_LBL_DWE_FRACTIONS" hidden="1">UCAV!#REF!</definedName>
    <definedName name="_44__123Graph_LBL_ET_W_VS_W_S_MIL" hidden="1">Performance!$A$77:$V$77</definedName>
    <definedName name="_45__123Graph_LBL_FT_W_VS_W_S_MIL" hidden="1">Performance!$A$78:$P$78</definedName>
    <definedName name="_46__123Graph_XBALANCE_PLOT" hidden="1">'Wt &amp; Balance'!$I$160:$I$165</definedName>
    <definedName name="_47__123Graph_XDRAG_BAR_CHART" hidden="1">Aerodynamics!$A$21:$A$25</definedName>
    <definedName name="_48__123Graph_XDRAG_PIE_CHART" hidden="1">Aerodynamics!$A$21:$A$25</definedName>
    <definedName name="_49__123Graph_XDRAG_POLARS" hidden="1">Aerodynamics!$C$54:$CO$54</definedName>
    <definedName name="_5__123Graph_ASTRUC._WEIT_PIE" hidden="1">'Wt &amp; Balance'!$C$92:$C$97</definedName>
    <definedName name="_50__123Graph_XSTRUC._WEIT_PIE" hidden="1">'Wt &amp; Balance'!$A$92:$A$97</definedName>
    <definedName name="_51__123Graph_XT_W_VS_W_S_FAR" hidden="1">Performance!$C$45:$AB$45</definedName>
    <definedName name="_52__123Graph_XT_W_VS_W_S_MIL" hidden="1">Performance!$C$45:$AB$45</definedName>
    <definedName name="_53__123Graph_XWE_FRACTIONS" hidden="1">UCAV!#REF!</definedName>
    <definedName name="_54__123Graph_XWE_REQ_D___AVAL" hidden="1">UCAV!#REF!</definedName>
    <definedName name="_6__123Graph_AT_W_VS_W_S_FAR" hidden="1">Performance!$C$52:$X$52</definedName>
    <definedName name="_7__123Graph_AT_W_VS_W_S_MIL" hidden="1">Performance!$C$49:$X$49</definedName>
    <definedName name="_8__123Graph_AWE_FRACTIONS" hidden="1">UCAV!#REF!</definedName>
    <definedName name="_9__123Graph_AWE_REQ_D___AVAL" hidden="1">UCAV!#REF!</definedName>
    <definedName name="_ALT1">Performance!$E$24</definedName>
    <definedName name="_ALT2">Performance!$E$25</definedName>
    <definedName name="_ALT3">Performance!$E$26</definedName>
    <definedName name="_ALT4">Performance!$E$27</definedName>
    <definedName name="_ALT5">Performance!$E$28</definedName>
    <definedName name="_CDO1">Performance!$O$24</definedName>
    <definedName name="_CDO2">Performance!$O$25</definedName>
    <definedName name="_CDO3">Performance!$O$26</definedName>
    <definedName name="_CDO4">Performance!$O$27</definedName>
    <definedName name="_CDO5">Performance!$O$28</definedName>
    <definedName name="_GEE1">Performance!$G$24</definedName>
    <definedName name="_GEE2">Performance!$G$25</definedName>
    <definedName name="_GEE3">Performance!$G$26</definedName>
    <definedName name="_GEE4">Performance!$G$27</definedName>
    <definedName name="_GEE5">Performance!$G$28</definedName>
    <definedName name="_KAY1">Performance!$Q$24</definedName>
    <definedName name="_KAY2">Performance!$Q$25</definedName>
    <definedName name="_KAY3">Performance!$Q$26</definedName>
    <definedName name="_KAY4">Performance!$Q$27</definedName>
    <definedName name="_KAY5">Performance!$Q$28</definedName>
    <definedName name="_KF1">Baseline!$U$46</definedName>
    <definedName name="_KF2">Baseline!$U$47</definedName>
    <definedName name="_KF3">Baseline!$U$48</definedName>
    <definedName name="_QUE1">Performance!$U$24</definedName>
    <definedName name="_QUE2">Performance!$U$25</definedName>
    <definedName name="_QUE3">Performance!$U$26</definedName>
    <definedName name="_QUE4">Performance!$U$27</definedName>
    <definedName name="_QUE5">Performance!$U$28</definedName>
    <definedName name="_Regression_Int" localSheetId="0" hidden="1">1</definedName>
    <definedName name="_SEP1">Performance!$I$24</definedName>
    <definedName name="_SEP2">Performance!$I$25</definedName>
    <definedName name="_SEP3">Performance!$I$26</definedName>
    <definedName name="_SEP4">Performance!$I$27</definedName>
    <definedName name="_SEP5">Performance!$I$28</definedName>
    <definedName name="_VEE1">Performance!$S$24</definedName>
    <definedName name="_VEE2">Performance!$S$25</definedName>
    <definedName name="_VEE3">Performance!$S$26</definedName>
    <definedName name="_VEE4">Performance!$S$27</definedName>
    <definedName name="_VEE5">Performance!$S$28</definedName>
    <definedName name="A">'Wt &amp; Balance'!$C$7</definedName>
    <definedName name="AERODYNAMICS">UCAV!$23:$7705</definedName>
    <definedName name="AFUSE">Baseline!$U$44</definedName>
    <definedName name="AHTSOB">Baseline!$U$42</definedName>
    <definedName name="ANAC">Baseline!$AA$39</definedName>
    <definedName name="ANOSE">Baseline!$U$37</definedName>
    <definedName name="APARA">Baseline!$U$38</definedName>
    <definedName name="APYLON">Baseline!$AA$23</definedName>
    <definedName name="AR">Baseline!$C$20</definedName>
    <definedName name="ARHTAIL">Baseline!$I$22</definedName>
    <definedName name="ARVTAIL">Baseline!$O$22</definedName>
    <definedName name="ATAIL">Baseline!$U$40</definedName>
    <definedName name="ATMOSPHERE">UCAV!#REF!</definedName>
    <definedName name="AVTSOB">Baseline!$U$43</definedName>
    <definedName name="AWINGSOB">Baseline!$U$41</definedName>
    <definedName name="AXSNAC">Baseline!$AA$35</definedName>
    <definedName name="B">Baseline!$C$36</definedName>
    <definedName name="BALANCE">'Wt &amp; Balance'!$A$134:$F$165</definedName>
    <definedName name="BASELINE">Baseline!$A$1:$D$8</definedName>
    <definedName name="BHT">Baseline!$I$37</definedName>
    <definedName name="BURIED">'Wt &amp; Balance'!$C$26</definedName>
    <definedName name="BURNER">'Wt &amp; Balance'!$C$25</definedName>
    <definedName name="BVT">Baseline!$O$37</definedName>
    <definedName name="CARGFUSE">Baseline!$U$29</definedName>
    <definedName name="CDO">Aerodynamics!$I$7</definedName>
    <definedName name="CDOCALC">Aerodynamics!$J$30</definedName>
    <definedName name="CDOSUB">Aerodynamics!$C$9</definedName>
    <definedName name="CDOSUP">Aerodynamics!$C$12</definedName>
    <definedName name="CLMAXCOM">Performance!$C$19</definedName>
    <definedName name="CLMAXLD">Performance!$C$13</definedName>
    <definedName name="CLMAXTO">Performance!$C$8</definedName>
    <definedName name="COMRATIO">Propulsion!$C$9</definedName>
    <definedName name="COMWEIT">Performance!$I$19</definedName>
    <definedName name="CREW">Baseline!$C$4</definedName>
    <definedName name="CROOT">Baseline!$C$37</definedName>
    <definedName name="CROOTHT">Baseline!$I$38</definedName>
    <definedName name="CROOTVT">Baseline!$O$38</definedName>
    <definedName name="CSOB">Baseline!$C$39</definedName>
    <definedName name="CTIP">Baseline!$C$38</definedName>
    <definedName name="CURVE">'Wt &amp; Balance'!$C$29</definedName>
    <definedName name="DELCD0LD">Performance!$C$14</definedName>
    <definedName name="DELCD0TO">Performance!$C$9</definedName>
    <definedName name="DELCDOGR">Performance!$C$10</definedName>
    <definedName name="DELCDOLD">Performance!$C$14</definedName>
    <definedName name="DELCDOTO">Performance!$C$9</definedName>
    <definedName name="DELHE">Mission!$I$16</definedName>
    <definedName name="DELHEAC2">Mission!$I$43</definedName>
    <definedName name="DELHEACN">Mission!$I$43</definedName>
    <definedName name="DELHECL">Mission!$I$16</definedName>
    <definedName name="DELTAT">Atmosphere!$E$9</definedName>
    <definedName name="DELTOGW">Mission!$C$61</definedName>
    <definedName name="DEQUIV">Baseline!$U$35</definedName>
    <definedName name="DEXHAUST">Baseline!$U$25</definedName>
    <definedName name="DNAC">Baseline!$AA$36</definedName>
    <definedName name="DRAG">Aerodynamics!$A$17:$I$29</definedName>
    <definedName name="DRAG_POLARS">Aerodynamics!$A$47</definedName>
    <definedName name="E">Aerodynamics!$C$10</definedName>
    <definedName name="ENGTYPE">'Wt &amp; Balance'!$C$24</definedName>
    <definedName name="ETURNS">Mission!$I$35</definedName>
    <definedName name="EWD">Acceleration!$C$12</definedName>
    <definedName name="EXPEND">Baseline!$C$5</definedName>
    <definedName name="F">Aerodynamics!$I$29</definedName>
    <definedName name="FIELDALT">Performance!$I$7</definedName>
    <definedName name="FIXSTAB">Baseline!$I$25</definedName>
    <definedName name="FNREF">Propulsion!$C$18</definedName>
    <definedName name="FUELDESC">Mission!$C$51</definedName>
    <definedName name="FUELLAND">Mission!$C$54</definedName>
    <definedName name="FUELRES">Mission!$C$56</definedName>
    <definedName name="FUSEAREA">Baseline!$C$53</definedName>
    <definedName name="FUSEXS">Baseline!$C$55</definedName>
    <definedName name="G">Atmosphere!$E$4</definedName>
    <definedName name="GAMMA">Atmosphere!$E$3</definedName>
    <definedName name="GD.OEW">'Wt &amp; Balance'!$C$123</definedName>
    <definedName name="GROSFRON">Baseline!$C$52</definedName>
    <definedName name="GSUP1">UCAV!$IV$7705</definedName>
    <definedName name="HAVEACCN">Mission!$I$25</definedName>
    <definedName name="HAVEACN2">Mission!$I$41</definedName>
    <definedName name="HAVECL">Mission!$I$13</definedName>
    <definedName name="HCRUISE">Mission!$C$47</definedName>
    <definedName name="HEND">Mission!$C$35</definedName>
    <definedName name="HENDCLB">Mission!$C$42</definedName>
    <definedName name="HFIN">Mission!$C$15</definedName>
    <definedName name="HFUSE">Baseline!$U$21</definedName>
    <definedName name="HINIT">Mission!$C$13</definedName>
    <definedName name="HSTART">UCAV!$IV$7705</definedName>
    <definedName name="HTRATIO">Baseline!$O$27</definedName>
    <definedName name="HVT">Baseline!$O$37</definedName>
    <definedName name="INFUSE">Baseline!$U$26</definedName>
    <definedName name="KEASMAXC">'Wt &amp; Balance'!$C$19</definedName>
    <definedName name="KEASMAXD">'Wt &amp; Balance'!$C$20</definedName>
    <definedName name="KFSP">'Wt &amp; Balance'!$C$32</definedName>
    <definedName name="KH">Baseline!$I$41</definedName>
    <definedName name="KINL">Baseline!$U$45</definedName>
    <definedName name="KPIV">Baseline!$C$47</definedName>
    <definedName name="KSUB">Aerodynamics!$I$9</definedName>
    <definedName name="KSUP">Aerodynamics!$I$10</definedName>
    <definedName name="KV">Baseline!$O$43</definedName>
    <definedName name="L">Baseline!$C$45</definedName>
    <definedName name="LAMBDA">Baseline!$C$21</definedName>
    <definedName name="LAMBDA2">Baseline!$C$44</definedName>
    <definedName name="LAMBDA2H">Baseline!$I$26</definedName>
    <definedName name="LAMBDAHT">Baseline!$I$24</definedName>
    <definedName name="LAMTAIL">Baseline!$O$24</definedName>
    <definedName name="LANDWEIT">Performance!$I$13</definedName>
    <definedName name="LAPSE">Atmosphere!$E$6</definedName>
    <definedName name="LDUCT">'Wt &amp; Balance'!$C$27</definedName>
    <definedName name="LEMAC">'Wt &amp; Balance'!$C$140</definedName>
    <definedName name="LEMACWCG">'Wt &amp; Balance'!$C$137</definedName>
    <definedName name="LESWEEP">Baseline!$C$23</definedName>
    <definedName name="LFUSE">Baseline!$U$20</definedName>
    <definedName name="LHT">Baseline!$I$27</definedName>
    <definedName name="LNAC">Baseline!$AA$37</definedName>
    <definedName name="LNOSE">Baseline!$U$23</definedName>
    <definedName name="LODACCN">Mission!$I$22</definedName>
    <definedName name="LODACN2">Mission!$I$38</definedName>
    <definedName name="LODCLIMB">Mission!$I$14</definedName>
    <definedName name="LODMAXSB">Aerodynamics!$I$11</definedName>
    <definedName name="LODMAXSP">Aerodynamics!$I$13</definedName>
    <definedName name="LODSUBCR">Aerodynamics!$I$12</definedName>
    <definedName name="LODSUPCR">Aerodynamics!$I$14</definedName>
    <definedName name="LOITALT">Mission!$C$21</definedName>
    <definedName name="LOITEND">Mission!$C$23</definedName>
    <definedName name="LOITMACH">Mission!$C$22</definedName>
    <definedName name="LORATIO">Propulsion!$C$8</definedName>
    <definedName name="LPARA">Baseline!$U$24</definedName>
    <definedName name="LVT">Baseline!$O$26</definedName>
    <definedName name="MAC">Baseline!$C$43</definedName>
    <definedName name="MACH1">Performance!$C$24</definedName>
    <definedName name="MACH2">Performance!$C$25</definedName>
    <definedName name="MACH3">Performance!$C$26</definedName>
    <definedName name="MACH4">Performance!$C$27</definedName>
    <definedName name="MACH5">Performance!$C$28</definedName>
    <definedName name="MACHT">Baseline!$I$40</definedName>
    <definedName name="MACIN">'Wt &amp; Balance'!$C$139</definedName>
    <definedName name="MACVT">Baseline!$O$40</definedName>
    <definedName name="MAXG">UCAV!$IV$7705</definedName>
    <definedName name="MCRUISE">Mission!$C$48</definedName>
    <definedName name="MEND">Mission!$C$34</definedName>
    <definedName name="MENDCLB">Mission!$C$41</definedName>
    <definedName name="MFIN">Mission!$C$14</definedName>
    <definedName name="MINDIFF">UCAV!#REF!</definedName>
    <definedName name="MINIT">Mission!$C$12</definedName>
    <definedName name="MISSION">UCAV!#REF!</definedName>
    <definedName name="MLGFUSE">Baseline!$U$28</definedName>
    <definedName name="MMAX">Baseline!$C$11</definedName>
    <definedName name="MSTART">Mission!$C$34</definedName>
    <definedName name="MSUPER">Aerodynamics!$C$13</definedName>
    <definedName name="N">Propulsion!$C$5</definedName>
    <definedName name="NACWET">Baseline!$AA$38</definedName>
    <definedName name="NG">Mission!$I$33</definedName>
    <definedName name="NGREQD">Performance!$C$17</definedName>
    <definedName name="NINL">'Wt &amp; Balance'!$C$30</definedName>
    <definedName name="NNAC">Baseline!$AA$20</definedName>
    <definedName name="NTURNS">Mission!$C$33</definedName>
    <definedName name="NULT">Baseline!$C$10</definedName>
    <definedName name="PAYLOAD">Baseline!$C$6</definedName>
    <definedName name="PERFORMANCE">Performance!$A$1:$D$18</definedName>
    <definedName name="PFUSE">Baseline!$U$27</definedName>
    <definedName name="PNOSE">Baseline!$U$36</definedName>
    <definedName name="POINTER">UCAV!#REF!</definedName>
    <definedName name="POINTER2">Performance!$C$68:$X$68</definedName>
    <definedName name="_xlnm.Print_Area" localSheetId="0">UCAV!$I$1:$O$3</definedName>
    <definedName name="Print_Area_MI" localSheetId="0">UCAV!$I$1:$O$3</definedName>
    <definedName name="PROPULSION">Propulsion!$A$1:$F$2</definedName>
    <definedName name="PSIDOT">Mission!$I$34</definedName>
    <definedName name="PSL">Atmosphere!$E$10</definedName>
    <definedName name="PTAIL">Baseline!$U$39</definedName>
    <definedName name="QAVEACCN">Mission!$I$23</definedName>
    <definedName name="QAVEACN2">Mission!$I$39</definedName>
    <definedName name="QAVECL">Mission!$I$12</definedName>
    <definedName name="QCOMBAT">Mission!$I$32</definedName>
    <definedName name="QMAX">Baseline!$I$11</definedName>
    <definedName name="R_">Atmosphere!$E$5</definedName>
    <definedName name="REPERFT">Aerodynamics!$I$16</definedName>
    <definedName name="RFFUSE">'Wt &amp; Balance'!$C$14</definedName>
    <definedName name="RFGEAR">'Wt &amp; Balance'!$C$16</definedName>
    <definedName name="RFHORZT">'Wt &amp; Balance'!$C$12</definedName>
    <definedName name="RFNAC">'Wt &amp; Balance'!$C$15</definedName>
    <definedName name="RFVERTT">'Wt &amp; Balance'!$C$13</definedName>
    <definedName name="RFWING">'Wt &amp; Balance'!$C$11</definedName>
    <definedName name="RLS">Baseline!$C$25</definedName>
    <definedName name="RO0">Atmosphere!$E$8</definedName>
    <definedName name="ROSL">Atmosphere!$E$11</definedName>
    <definedName name="SEP">Performance!$C$18</definedName>
    <definedName name="SFCCL">Propulsion!$C$11</definedName>
    <definedName name="SFCCOMB">Propulsion!$C$15</definedName>
    <definedName name="SFCCR">Propulsion!$C$12</definedName>
    <definedName name="SFCLO">Propulsion!$C$13</definedName>
    <definedName name="SFCSUPER">Propulsion!$C$14</definedName>
    <definedName name="SFCTO">Propulsion!$C$16</definedName>
    <definedName name="SFUSE">Baseline!$C$41</definedName>
    <definedName name="SHT">Baseline!$I$35</definedName>
    <definedName name="SHTWET">Baseline!$I$36</definedName>
    <definedName name="SIGMATO">Performance!$I$8</definedName>
    <definedName name="solver_adj" localSheetId="5" hidden="1">Acceleration!$Z$21</definedName>
    <definedName name="solver_adj" localSheetId="2" hidden="1">Baseline!$C$3</definedName>
    <definedName name="solver_adj" localSheetId="0" hidden="1">UCAV!$C$3</definedName>
    <definedName name="solver_cvg" localSheetId="5" hidden="1">0.0001</definedName>
    <definedName name="solver_cvg" localSheetId="2" hidden="1">0.0001</definedName>
    <definedName name="solver_cvg" localSheetId="0" hidden="1">0.0001</definedName>
    <definedName name="solver_drv" localSheetId="5" hidden="1">1</definedName>
    <definedName name="solver_drv" localSheetId="2" hidden="1">2</definedName>
    <definedName name="solver_drv" localSheetId="0" hidden="1">1</definedName>
    <definedName name="solver_eng" localSheetId="5" hidden="1">1</definedName>
    <definedName name="solver_eng" localSheetId="3" hidden="1">1</definedName>
    <definedName name="solver_eng" localSheetId="2" hidden="1">1</definedName>
    <definedName name="solver_eng" localSheetId="0" hidden="1">1</definedName>
    <definedName name="solver_est" localSheetId="5" hidden="1">1</definedName>
    <definedName name="solver_est" localSheetId="2" hidden="1">1</definedName>
    <definedName name="solver_est" localSheetId="0" hidden="1">1</definedName>
    <definedName name="solver_itr" localSheetId="5" hidden="1">2147483647</definedName>
    <definedName name="solver_itr" localSheetId="2" hidden="1">2147483647</definedName>
    <definedName name="solver_itr" localSheetId="0" hidden="1">2147483647</definedName>
    <definedName name="solver_mip" localSheetId="5" hidden="1">2147483647</definedName>
    <definedName name="solver_mip" localSheetId="2" hidden="1">2147483647</definedName>
    <definedName name="solver_mip" localSheetId="0" hidden="1">2147483647</definedName>
    <definedName name="solver_mni" localSheetId="5" hidden="1">30</definedName>
    <definedName name="solver_mni" localSheetId="2" hidden="1">30</definedName>
    <definedName name="solver_mni" localSheetId="0" hidden="1">30</definedName>
    <definedName name="solver_mrt" localSheetId="5" hidden="1">0.075</definedName>
    <definedName name="solver_mrt" localSheetId="2" hidden="1">0.075</definedName>
    <definedName name="solver_mrt" localSheetId="0" hidden="1">0.075</definedName>
    <definedName name="solver_msl" localSheetId="5" hidden="1">2</definedName>
    <definedName name="solver_msl" localSheetId="2" hidden="1">2</definedName>
    <definedName name="solver_msl" localSheetId="0" hidden="1">2</definedName>
    <definedName name="solver_neg" localSheetId="5" hidden="1">1</definedName>
    <definedName name="solver_neg" localSheetId="3" hidden="1">1</definedName>
    <definedName name="solver_neg" localSheetId="2" hidden="1">2</definedName>
    <definedName name="solver_neg" localSheetId="0" hidden="1">1</definedName>
    <definedName name="solver_nod" localSheetId="5" hidden="1">2147483647</definedName>
    <definedName name="solver_nod" localSheetId="2" hidden="1">2147483647</definedName>
    <definedName name="solver_nod" localSheetId="0" hidden="1">2147483647</definedName>
    <definedName name="solver_num" localSheetId="5" hidden="1">0</definedName>
    <definedName name="solver_num" localSheetId="3" hidden="1">0</definedName>
    <definedName name="solver_num" localSheetId="2" hidden="1">0</definedName>
    <definedName name="solver_num" localSheetId="0" hidden="1">0</definedName>
    <definedName name="solver_nwt" localSheetId="5" hidden="1">1</definedName>
    <definedName name="solver_nwt" localSheetId="2" hidden="1">1</definedName>
    <definedName name="solver_nwt" localSheetId="0" hidden="1">1</definedName>
    <definedName name="solver_opt" localSheetId="5" hidden="1">Acceleration!$Z$60</definedName>
    <definedName name="solver_opt" localSheetId="3" hidden="1">Aerodynamics!$D$14</definedName>
    <definedName name="solver_opt" localSheetId="2" hidden="1">Baseline!$I$3</definedName>
    <definedName name="solver_opt" localSheetId="0" hidden="1">UCAV!$H$3</definedName>
    <definedName name="solver_pre" localSheetId="5" hidden="1">0.000001</definedName>
    <definedName name="solver_pre" localSheetId="2" hidden="1">0.000000001</definedName>
    <definedName name="solver_pre" localSheetId="0" hidden="1">0.000001</definedName>
    <definedName name="solver_rbv" localSheetId="5" hidden="1">1</definedName>
    <definedName name="solver_rbv" localSheetId="2" hidden="1">2</definedName>
    <definedName name="solver_rbv" localSheetId="0" hidden="1">1</definedName>
    <definedName name="solver_rlx" localSheetId="5" hidden="1">2</definedName>
    <definedName name="solver_rlx" localSheetId="2" hidden="1">2</definedName>
    <definedName name="solver_rlx" localSheetId="0" hidden="1">2</definedName>
    <definedName name="solver_rsd" localSheetId="5" hidden="1">0</definedName>
    <definedName name="solver_rsd" localSheetId="2" hidden="1">0</definedName>
    <definedName name="solver_rsd" localSheetId="0" hidden="1">0</definedName>
    <definedName name="solver_scl" localSheetId="5" hidden="1">1</definedName>
    <definedName name="solver_scl" localSheetId="2" hidden="1">2</definedName>
    <definedName name="solver_scl" localSheetId="0" hidden="1">1</definedName>
    <definedName name="solver_sho" localSheetId="5" hidden="1">2</definedName>
    <definedName name="solver_sho" localSheetId="2" hidden="1">2</definedName>
    <definedName name="solver_sho" localSheetId="0" hidden="1">2</definedName>
    <definedName name="solver_ssz" localSheetId="5" hidden="1">100</definedName>
    <definedName name="solver_ssz" localSheetId="2" hidden="1">100</definedName>
    <definedName name="solver_ssz" localSheetId="0" hidden="1">100</definedName>
    <definedName name="solver_tim" localSheetId="5" hidden="1">2147483647</definedName>
    <definedName name="solver_tim" localSheetId="2" hidden="1">2147483647</definedName>
    <definedName name="solver_tim" localSheetId="0" hidden="1">2147483647</definedName>
    <definedName name="solver_tol" localSheetId="5" hidden="1">0.01</definedName>
    <definedName name="solver_tol" localSheetId="2" hidden="1">0.01</definedName>
    <definedName name="solver_tol" localSheetId="0" hidden="1">0.01</definedName>
    <definedName name="solver_typ" localSheetId="5" hidden="1">3</definedName>
    <definedName name="solver_typ" localSheetId="3" hidden="1">1</definedName>
    <definedName name="solver_typ" localSheetId="2" hidden="1">3</definedName>
    <definedName name="solver_typ" localSheetId="0" hidden="1">3</definedName>
    <definedName name="solver_val" localSheetId="5" hidden="1">50</definedName>
    <definedName name="solver_val" localSheetId="3" hidden="1">0</definedName>
    <definedName name="solver_val" localSheetId="2" hidden="1">0</definedName>
    <definedName name="solver_val" localSheetId="0" hidden="1">0</definedName>
    <definedName name="solver_ver" localSheetId="5" hidden="1">3</definedName>
    <definedName name="solver_ver" localSheetId="3" hidden="1">3</definedName>
    <definedName name="solver_ver" localSheetId="2" hidden="1">3</definedName>
    <definedName name="solver_ver" localSheetId="0" hidden="1">3</definedName>
    <definedName name="SPAN">Baseline!$C$36</definedName>
    <definedName name="SPANEFF">'Wt &amp; Balance'!$C$49</definedName>
    <definedName name="SR">Baseline!$O$41</definedName>
    <definedName name="SREF">Baseline!$C$35</definedName>
    <definedName name="SUBDIST">Mission!$C$18</definedName>
    <definedName name="SUPALT">Mission!$C$27</definedName>
    <definedName name="SUPDIST">Mission!$C$30</definedName>
    <definedName name="SVT">Baseline!$O$35</definedName>
    <definedName name="SVTWET">Baseline!$O$36</definedName>
    <definedName name="SWEEP2">Baseline!$C$44</definedName>
    <definedName name="SWETWING">Baseline!$C$42</definedName>
    <definedName name="SWITCH1">Mission!$C$8</definedName>
    <definedName name="SWITCH10">Mission!$C$44</definedName>
    <definedName name="SWITCH11">Mission!$C$46</definedName>
    <definedName name="SWITCH12">Mission!$C$50</definedName>
    <definedName name="SWITCH13">Mission!$C$53</definedName>
    <definedName name="SWITCH2">Mission!$C$11</definedName>
    <definedName name="SWITCH3">Mission!$C$17</definedName>
    <definedName name="SWITCH4">Mission!$C$20</definedName>
    <definedName name="SWITCH5">Mission!$C$25</definedName>
    <definedName name="SWITCH6">Mission!$C$29</definedName>
    <definedName name="SWITCH7">Mission!$C$32</definedName>
    <definedName name="SWITCH8">Mission!$C$37</definedName>
    <definedName name="SWITCH9">Mission!$C$40</definedName>
    <definedName name="T0">Atmosphere!$E$7</definedName>
    <definedName name="TAILSWP">Baseline!$O$25</definedName>
    <definedName name="TEMAC">'Wt &amp; Balance'!$C$141</definedName>
    <definedName name="TLAPSE">Propulsion!$C$10</definedName>
    <definedName name="TOACAPT">'Wt &amp; Balance'!$C$28</definedName>
    <definedName name="TOANAC">Baseline!$AA$21</definedName>
    <definedName name="TOBURN">Mission!$C$9</definedName>
    <definedName name="TOC">Baseline!$C$22</definedName>
    <definedName name="TOCLOC">Baseline!$C$24</definedName>
    <definedName name="TOCROOT">Baseline!$I$23</definedName>
    <definedName name="TOCROOTHT">Baseline!$I$23</definedName>
    <definedName name="TOCROOTVT">Baseline!$O$23</definedName>
    <definedName name="TOCRROOTVT">Baseline!$O$23</definedName>
    <definedName name="TODIST">Performance!$C$7</definedName>
    <definedName name="TOGW">Baseline!$C$3</definedName>
    <definedName name="TOGWREQD">UCAV!#REF!</definedName>
    <definedName name="TOLNAC">Baseline!$AA$22</definedName>
    <definedName name="TOR.OEW">'Wt &amp; Balance'!$C$87</definedName>
    <definedName name="TORREF4">Performance!$K$27</definedName>
    <definedName name="TOTREF1">Performance!$K$24</definedName>
    <definedName name="TOTREF2">Performance!$K$25</definedName>
    <definedName name="TOTREF3">Performance!$K$26</definedName>
    <definedName name="TOTREF5">Performance!$K$28</definedName>
    <definedName name="TOW">Baseline!$C$7</definedName>
    <definedName name="TOWACCN">Mission!$I$26</definedName>
    <definedName name="TOWACN2">Mission!$I$42</definedName>
    <definedName name="TOWCLIMB">Mission!$I$15</definedName>
    <definedName name="TOWCOMB">Mission!$I$30</definedName>
    <definedName name="TOWFAR">Performance!$M$39</definedName>
    <definedName name="TOWMAX">Performance!$C$66:$X$66</definedName>
    <definedName name="TOWRANG2">Performance!$C$49:$X$55</definedName>
    <definedName name="TOWRANGE">Performance!$C$49:$X$59</definedName>
    <definedName name="TOWREQD">Performance!$C$71</definedName>
    <definedName name="TRATIO">Propulsion!$C$7</definedName>
    <definedName name="TROOTHT">Baseline!$I$39</definedName>
    <definedName name="TROOTVT">Baseline!$O$39</definedName>
    <definedName name="TSOB">Baseline!$C$40</definedName>
    <definedName name="TURN2">UCAV!$IV$7705</definedName>
    <definedName name="VARSWP">Baseline!$C$27</definedName>
    <definedName name="VCOMBEND">Mission!$I$31</definedName>
    <definedName name="VFIN">Mission!$I$11</definedName>
    <definedName name="VHBAR">Baseline!$I$20</definedName>
    <definedName name="VINIT">Mission!$I$10</definedName>
    <definedName name="VSUPER">Mission!$I$21</definedName>
    <definedName name="VSUPER2">Mission!$I$37</definedName>
    <definedName name="VVBAR">Baseline!$O$20</definedName>
    <definedName name="WEAPWEIT">Mission!$C$38</definedName>
    <definedName name="WEIGHTS">UCAV!#REF!</definedName>
    <definedName name="WEITDIFF">'Wt &amp; Balance'!$C$125</definedName>
    <definedName name="WEITDIFF2">Baseline!$I$3</definedName>
    <definedName name="WFIXED">Baseline!$I$6</definedName>
    <definedName name="WFUSE">Baseline!$U$22</definedName>
    <definedName name="WOS">Baseline!$C$8</definedName>
    <definedName name="WOSACCN">Mission!$I$24</definedName>
    <definedName name="WOSACN2">Mission!$I$40</definedName>
    <definedName name="WOSCOMB">Mission!$I$29</definedName>
    <definedName name="WOSDIFF">Performance!$C$44</definedName>
    <definedName name="WOSLAND">Performance!$I$14</definedName>
    <definedName name="WOSREQD">Performance!$C$72</definedName>
    <definedName name="WOWREF1">Performance!$M$24</definedName>
    <definedName name="WOWREF2">Performance!$M$25</definedName>
    <definedName name="WOWREF3">Performance!$M$26</definedName>
    <definedName name="WOWREF4">Performance!$M$27</definedName>
    <definedName name="WOWREF5">Performance!$M$28</definedName>
    <definedName name="WPAY">Baseline!$I$6</definedName>
    <definedName name="XSArea">Baseline!$C$57</definedName>
  </definedNames>
  <calcPr calcId="152511"/>
</workbook>
</file>

<file path=xl/calcChain.xml><?xml version="1.0" encoding="utf-8"?>
<calcChain xmlns="http://schemas.openxmlformats.org/spreadsheetml/2006/main">
  <c r="J29" i="19" l="1"/>
  <c r="C55" i="12"/>
  <c r="C57" i="12" l="1"/>
  <c r="C13" i="19" l="1"/>
  <c r="K23" i="19"/>
  <c r="D25" i="19"/>
  <c r="D26" i="19"/>
  <c r="D27" i="19"/>
  <c r="D28" i="19"/>
  <c r="D29" i="19"/>
  <c r="D30" i="19"/>
  <c r="D31" i="19"/>
  <c r="D32" i="19"/>
  <c r="D33" i="19"/>
  <c r="D34" i="19"/>
  <c r="D35" i="19"/>
  <c r="D36" i="19"/>
  <c r="D37" i="19"/>
  <c r="D38" i="19"/>
  <c r="D39" i="19"/>
  <c r="D24" i="19"/>
  <c r="C9" i="19" l="1"/>
  <c r="F22" i="16"/>
  <c r="G22" i="16" s="1"/>
  <c r="H22" i="16" s="1"/>
  <c r="H38" i="19" l="1"/>
  <c r="H37" i="19"/>
  <c r="H33" i="19"/>
  <c r="H32" i="19"/>
  <c r="H31" i="19"/>
  <c r="H30" i="19"/>
  <c r="H29" i="19"/>
  <c r="G38" i="19"/>
  <c r="H39" i="19" s="1"/>
  <c r="G36" i="19"/>
  <c r="H36" i="19" s="1"/>
  <c r="G34" i="19"/>
  <c r="H35" i="19" s="1"/>
  <c r="G32" i="19"/>
  <c r="G30" i="19"/>
  <c r="G28" i="19"/>
  <c r="H28" i="19" s="1"/>
  <c r="G26" i="19"/>
  <c r="H27" i="19" s="1"/>
  <c r="G24" i="19"/>
  <c r="H25" i="19" s="1"/>
  <c r="C18" i="18"/>
  <c r="C8" i="19"/>
  <c r="C35" i="19" s="1"/>
  <c r="E22" i="16"/>
  <c r="D22" i="16"/>
  <c r="C23" i="16"/>
  <c r="C22" i="16"/>
  <c r="C7" i="19"/>
  <c r="N17" i="19"/>
  <c r="W18" i="19"/>
  <c r="K27" i="15"/>
  <c r="K26" i="15"/>
  <c r="K25" i="15"/>
  <c r="K24" i="15"/>
  <c r="H24" i="19" l="1"/>
  <c r="H26" i="19"/>
  <c r="H34" i="19"/>
  <c r="C27" i="19"/>
  <c r="C29" i="19"/>
  <c r="C26" i="19"/>
  <c r="C28" i="19"/>
  <c r="C33" i="19"/>
  <c r="C34" i="19"/>
  <c r="C36" i="19"/>
  <c r="E36" i="19" s="1"/>
  <c r="F36" i="19" s="1"/>
  <c r="V18" i="19"/>
  <c r="C25" i="19"/>
  <c r="C37" i="19"/>
  <c r="C30" i="19"/>
  <c r="C38" i="19"/>
  <c r="C23" i="19"/>
  <c r="C31" i="19"/>
  <c r="C39" i="19"/>
  <c r="C24" i="19"/>
  <c r="C32" i="19"/>
  <c r="X18" i="19"/>
  <c r="E25" i="19" l="1"/>
  <c r="F25" i="19" s="1"/>
  <c r="E34" i="19"/>
  <c r="F34" i="19" s="1"/>
  <c r="U18" i="19"/>
  <c r="E38" i="19"/>
  <c r="F38" i="19" s="1"/>
  <c r="E28" i="19"/>
  <c r="F28" i="19" s="1"/>
  <c r="Y18" i="19"/>
  <c r="E30" i="19"/>
  <c r="F30" i="19" s="1"/>
  <c r="E27" i="19"/>
  <c r="F27" i="19" s="1"/>
  <c r="E37" i="19"/>
  <c r="F37" i="19" s="1"/>
  <c r="E29" i="19"/>
  <c r="F29" i="19" s="1"/>
  <c r="E35" i="19"/>
  <c r="F35" i="19" s="1"/>
  <c r="E33" i="19"/>
  <c r="F33" i="19" s="1"/>
  <c r="E32" i="19"/>
  <c r="F32" i="19" s="1"/>
  <c r="E24" i="19"/>
  <c r="F24" i="19" s="1"/>
  <c r="E39" i="19"/>
  <c r="F39" i="19" s="1"/>
  <c r="E31" i="19"/>
  <c r="F31" i="19" s="1"/>
  <c r="E26" i="19"/>
  <c r="F26" i="19" s="1"/>
  <c r="C35" i="12"/>
  <c r="C36" i="12" l="1"/>
  <c r="C52" i="12"/>
  <c r="T18" i="19"/>
  <c r="Z18" i="19"/>
  <c r="K38" i="15"/>
  <c r="K37" i="15"/>
  <c r="K35" i="15"/>
  <c r="K34" i="15"/>
  <c r="K33" i="15"/>
  <c r="K32" i="15"/>
  <c r="C38" i="17"/>
  <c r="AA18" i="19" l="1"/>
  <c r="S18" i="19"/>
  <c r="E3" i="12"/>
  <c r="I6" i="12"/>
  <c r="C56" i="13"/>
  <c r="D54" i="13"/>
  <c r="D56" i="13" s="1"/>
  <c r="D50" i="13"/>
  <c r="E50" i="13" s="1"/>
  <c r="F50" i="13" s="1"/>
  <c r="G50" i="13" s="1"/>
  <c r="H50" i="13" s="1"/>
  <c r="I50" i="13" s="1"/>
  <c r="D158" i="17"/>
  <c r="D157" i="17"/>
  <c r="D156" i="17"/>
  <c r="B155" i="17"/>
  <c r="D155" i="17" s="1"/>
  <c r="B153" i="17"/>
  <c r="D153" i="17" s="1"/>
  <c r="C140" i="17"/>
  <c r="H157" i="17" s="1"/>
  <c r="C66" i="17"/>
  <c r="A29" i="16"/>
  <c r="A28" i="16"/>
  <c r="C27" i="16"/>
  <c r="F27" i="16" s="1"/>
  <c r="A27" i="16"/>
  <c r="C26" i="16"/>
  <c r="F26" i="16" s="1"/>
  <c r="A26" i="16"/>
  <c r="H25" i="16"/>
  <c r="A25" i="16"/>
  <c r="C24" i="16"/>
  <c r="F24" i="16" s="1"/>
  <c r="A24" i="16"/>
  <c r="F23" i="16"/>
  <c r="A23" i="16"/>
  <c r="A22" i="16"/>
  <c r="C21" i="16"/>
  <c r="D21" i="16" s="1"/>
  <c r="E21" i="16" s="1"/>
  <c r="A21" i="16"/>
  <c r="C20" i="16"/>
  <c r="F20" i="16" s="1"/>
  <c r="A20" i="16"/>
  <c r="A19" i="16"/>
  <c r="D18" i="16"/>
  <c r="I18" i="16" s="1"/>
  <c r="C18" i="16"/>
  <c r="F18" i="16" s="1"/>
  <c r="G18" i="16" s="1"/>
  <c r="A18" i="16"/>
  <c r="E11" i="16"/>
  <c r="E10" i="16"/>
  <c r="J80" i="15"/>
  <c r="C79" i="15"/>
  <c r="L76" i="15"/>
  <c r="D75" i="15"/>
  <c r="C70" i="15"/>
  <c r="A59" i="15"/>
  <c r="V77" i="15" s="1"/>
  <c r="A58" i="15"/>
  <c r="A57" i="15"/>
  <c r="A56" i="15"/>
  <c r="A55" i="15"/>
  <c r="F78" i="15" s="1"/>
  <c r="AA45" i="15"/>
  <c r="L45" i="15"/>
  <c r="K45" i="15" s="1"/>
  <c r="J45" i="15" s="1"/>
  <c r="I38" i="15"/>
  <c r="F38" i="15"/>
  <c r="E38" i="15"/>
  <c r="D38" i="15"/>
  <c r="B38" i="15"/>
  <c r="F37" i="15"/>
  <c r="E37" i="15"/>
  <c r="D37" i="15"/>
  <c r="I36" i="15"/>
  <c r="F36" i="15"/>
  <c r="E36" i="15"/>
  <c r="D36" i="15"/>
  <c r="B36" i="15"/>
  <c r="I35" i="15"/>
  <c r="F35" i="15"/>
  <c r="E35" i="15"/>
  <c r="D35" i="15"/>
  <c r="B35" i="15"/>
  <c r="I34" i="15"/>
  <c r="F34" i="15"/>
  <c r="E34" i="15"/>
  <c r="D34" i="15"/>
  <c r="B34" i="15"/>
  <c r="I33" i="15"/>
  <c r="F33" i="15"/>
  <c r="E33" i="15"/>
  <c r="D33" i="15"/>
  <c r="B33" i="15"/>
  <c r="I32" i="15"/>
  <c r="F32" i="15"/>
  <c r="E32" i="15"/>
  <c r="D32" i="15"/>
  <c r="B32" i="15"/>
  <c r="U28" i="15"/>
  <c r="S28" i="15"/>
  <c r="U27" i="15"/>
  <c r="S27" i="15"/>
  <c r="O27" i="15"/>
  <c r="U26" i="15"/>
  <c r="S26" i="15"/>
  <c r="O26" i="15"/>
  <c r="U25" i="15"/>
  <c r="AB45" i="15" s="1"/>
  <c r="S25" i="15"/>
  <c r="U24" i="15"/>
  <c r="S24" i="15"/>
  <c r="O24" i="15"/>
  <c r="I7" i="15"/>
  <c r="A76" i="14"/>
  <c r="A75" i="14"/>
  <c r="A74" i="14"/>
  <c r="A73" i="14"/>
  <c r="A72" i="14"/>
  <c r="A71" i="14"/>
  <c r="A70" i="14"/>
  <c r="A69" i="14"/>
  <c r="A68" i="14"/>
  <c r="A67" i="14"/>
  <c r="A66" i="14"/>
  <c r="A65" i="14"/>
  <c r="A64" i="14"/>
  <c r="C62" i="14"/>
  <c r="I41" i="14"/>
  <c r="I25" i="14"/>
  <c r="I13" i="14"/>
  <c r="I15" i="14" s="1"/>
  <c r="C24" i="13"/>
  <c r="E23" i="13"/>
  <c r="E22" i="13"/>
  <c r="C13" i="13"/>
  <c r="Q27" i="15" s="1"/>
  <c r="I10" i="13"/>
  <c r="I13" i="13" s="1"/>
  <c r="I14" i="13" s="1"/>
  <c r="I9" i="13"/>
  <c r="Q25" i="15" s="1"/>
  <c r="U48" i="12"/>
  <c r="U47" i="12"/>
  <c r="C47" i="12"/>
  <c r="U46" i="12"/>
  <c r="U45" i="12"/>
  <c r="C45" i="12"/>
  <c r="E21" i="13" s="1"/>
  <c r="I41" i="12"/>
  <c r="U35" i="12"/>
  <c r="U39" i="12" s="1"/>
  <c r="U40" i="12" s="1"/>
  <c r="C37" i="12"/>
  <c r="C128" i="17" l="1"/>
  <c r="I52" i="13"/>
  <c r="AB18" i="19"/>
  <c r="R18" i="19"/>
  <c r="E18" i="16"/>
  <c r="U36" i="12"/>
  <c r="U37" i="12" s="1"/>
  <c r="E24" i="13"/>
  <c r="U38" i="12"/>
  <c r="C61" i="17"/>
  <c r="B150" i="17" s="1"/>
  <c r="D150" i="17" s="1"/>
  <c r="C92" i="17"/>
  <c r="C97" i="17"/>
  <c r="C64" i="17"/>
  <c r="C104" i="17"/>
  <c r="H155" i="17"/>
  <c r="C67" i="17"/>
  <c r="C68" i="17"/>
  <c r="B151" i="17" s="1"/>
  <c r="D151" i="17" s="1"/>
  <c r="H147" i="17"/>
  <c r="H152" i="17"/>
  <c r="C43" i="17"/>
  <c r="C96" i="17"/>
  <c r="J50" i="13"/>
  <c r="K50" i="13" s="1"/>
  <c r="L50" i="13" s="1"/>
  <c r="M50" i="13" s="1"/>
  <c r="N50" i="13" s="1"/>
  <c r="H52" i="13"/>
  <c r="F52" i="13"/>
  <c r="Q24" i="15"/>
  <c r="K52" i="13"/>
  <c r="C52" i="13"/>
  <c r="J52" i="13"/>
  <c r="Q26" i="15"/>
  <c r="M52" i="13"/>
  <c r="E52" i="13"/>
  <c r="L52" i="13"/>
  <c r="D52" i="13"/>
  <c r="Q28" i="15"/>
  <c r="G52" i="13"/>
  <c r="E54" i="13"/>
  <c r="H146" i="17"/>
  <c r="H154" i="17"/>
  <c r="C40" i="17"/>
  <c r="C63" i="17"/>
  <c r="B149" i="17" s="1"/>
  <c r="D149" i="17" s="1"/>
  <c r="C103" i="17"/>
  <c r="H149" i="17"/>
  <c r="H158" i="17"/>
  <c r="C99" i="17"/>
  <c r="H148" i="17"/>
  <c r="H150" i="17"/>
  <c r="H153" i="17"/>
  <c r="H156" i="17"/>
  <c r="C60" i="17"/>
  <c r="C100" i="17"/>
  <c r="H151" i="17"/>
  <c r="H18" i="16"/>
  <c r="L52" i="15" s="1"/>
  <c r="I8" i="15"/>
  <c r="J47" i="15" s="1"/>
  <c r="J49" i="15" s="1"/>
  <c r="D24" i="16"/>
  <c r="E24" i="16" s="1"/>
  <c r="D27" i="16"/>
  <c r="E27" i="16" s="1"/>
  <c r="D23" i="16"/>
  <c r="E23" i="16" s="1"/>
  <c r="D26" i="16"/>
  <c r="E26" i="16" s="1"/>
  <c r="F21" i="16"/>
  <c r="G21" i="16" s="1"/>
  <c r="H21" i="16" s="1"/>
  <c r="K52" i="15"/>
  <c r="G27" i="16"/>
  <c r="H27" i="16" s="1"/>
  <c r="D20" i="16"/>
  <c r="M45" i="15"/>
  <c r="I45" i="15"/>
  <c r="L47" i="15"/>
  <c r="L49" i="15" s="1"/>
  <c r="C64" i="14"/>
  <c r="C43" i="12"/>
  <c r="I35" i="12" s="1"/>
  <c r="C38" i="12"/>
  <c r="C39" i="12" s="1"/>
  <c r="O35" i="12"/>
  <c r="Q18" i="19" l="1"/>
  <c r="AC18" i="19"/>
  <c r="G23" i="16"/>
  <c r="H23" i="16" s="1"/>
  <c r="G24" i="16"/>
  <c r="H24" i="16" s="1"/>
  <c r="K47" i="15"/>
  <c r="K49" i="15" s="1"/>
  <c r="J52" i="15"/>
  <c r="I37" i="12"/>
  <c r="I38" i="12" s="1"/>
  <c r="C139" i="17"/>
  <c r="C141" i="17" s="1"/>
  <c r="C21" i="13"/>
  <c r="E56" i="13"/>
  <c r="F54" i="13"/>
  <c r="O50" i="13"/>
  <c r="N52" i="13"/>
  <c r="C41" i="17"/>
  <c r="C46" i="17"/>
  <c r="I20" i="16"/>
  <c r="E20" i="16"/>
  <c r="I11" i="14" s="1"/>
  <c r="G20" i="16"/>
  <c r="G26" i="16"/>
  <c r="H26" i="16" s="1"/>
  <c r="N45" i="15"/>
  <c r="M47" i="15"/>
  <c r="M49" i="15" s="1"/>
  <c r="M52" i="15"/>
  <c r="I52" i="15"/>
  <c r="I47" i="15"/>
  <c r="I49" i="15" s="1"/>
  <c r="H45" i="15"/>
  <c r="C40" i="12"/>
  <c r="C41" i="12"/>
  <c r="C42" i="12" s="1"/>
  <c r="B21" i="13" s="1"/>
  <c r="O37" i="12"/>
  <c r="O38" i="12" s="1"/>
  <c r="O41" i="12"/>
  <c r="O36" i="12"/>
  <c r="B23" i="13" s="1"/>
  <c r="C44" i="12"/>
  <c r="C49" i="17" s="1"/>
  <c r="I11" i="12"/>
  <c r="C95" i="17" s="1"/>
  <c r="I37" i="14"/>
  <c r="I31" i="14"/>
  <c r="I21" i="14"/>
  <c r="F2" i="1"/>
  <c r="U41" i="12" l="1"/>
  <c r="C53" i="12"/>
  <c r="C54" i="12" s="1"/>
  <c r="AD18" i="19"/>
  <c r="P18" i="19"/>
  <c r="O43" i="12"/>
  <c r="I36" i="12"/>
  <c r="B22" i="13" s="1"/>
  <c r="P50" i="13"/>
  <c r="O52" i="13"/>
  <c r="F56" i="13"/>
  <c r="G54" i="13"/>
  <c r="C94" i="17"/>
  <c r="C44" i="17"/>
  <c r="C45" i="17" s="1"/>
  <c r="C42" i="17"/>
  <c r="I27" i="14"/>
  <c r="H20" i="16"/>
  <c r="C19" i="17" s="1"/>
  <c r="C20" i="17" s="1"/>
  <c r="C59" i="17" s="1"/>
  <c r="B146" i="17" s="1"/>
  <c r="D146" i="17" s="1"/>
  <c r="G19" i="16"/>
  <c r="H19" i="16" s="1"/>
  <c r="G45" i="15"/>
  <c r="H52" i="15"/>
  <c r="H47" i="15"/>
  <c r="H49" i="15" s="1"/>
  <c r="O45" i="15"/>
  <c r="N47" i="15"/>
  <c r="N49" i="15" s="1"/>
  <c r="N52" i="15"/>
  <c r="I43" i="14"/>
  <c r="O40" i="12"/>
  <c r="C23" i="13" s="1"/>
  <c r="O39" i="12"/>
  <c r="U43" i="12" s="1"/>
  <c r="AA35" i="12"/>
  <c r="AA37" i="12"/>
  <c r="C25" i="13" s="1"/>
  <c r="I40" i="12"/>
  <c r="C22" i="13" s="1"/>
  <c r="I39" i="12"/>
  <c r="U42" i="12" s="1"/>
  <c r="I10" i="14"/>
  <c r="I16" i="14" s="1"/>
  <c r="AA36" i="12" l="1"/>
  <c r="C56" i="12"/>
  <c r="C34" i="13"/>
  <c r="C11" i="19"/>
  <c r="J39" i="19" s="1"/>
  <c r="O18" i="19"/>
  <c r="AE18" i="19"/>
  <c r="C58" i="17"/>
  <c r="U44" i="12"/>
  <c r="B24" i="13" s="1"/>
  <c r="P52" i="13"/>
  <c r="Q50" i="13"/>
  <c r="G56" i="13"/>
  <c r="H54" i="13"/>
  <c r="C47" i="17"/>
  <c r="C48" i="17" s="1"/>
  <c r="C93" i="17" s="1"/>
  <c r="C57" i="17"/>
  <c r="G47" i="15"/>
  <c r="G49" i="15" s="1"/>
  <c r="F45" i="15"/>
  <c r="G52" i="15"/>
  <c r="O47" i="15"/>
  <c r="O49" i="15" s="1"/>
  <c r="P45" i="15"/>
  <c r="O52" i="15"/>
  <c r="I12" i="14"/>
  <c r="I14" i="14" s="1"/>
  <c r="C65" i="14" s="1"/>
  <c r="I23" i="14"/>
  <c r="I16" i="13"/>
  <c r="D25" i="13" s="1"/>
  <c r="F25" i="13" s="1"/>
  <c r="I32" i="14"/>
  <c r="I39" i="14"/>
  <c r="AA38" i="12"/>
  <c r="AA39" i="12" s="1"/>
  <c r="B25" i="13" s="1"/>
  <c r="J31" i="19" l="1"/>
  <c r="J34" i="19"/>
  <c r="J36" i="19"/>
  <c r="J38" i="19"/>
  <c r="J32" i="19"/>
  <c r="J33" i="19"/>
  <c r="J35" i="19"/>
  <c r="J37" i="19"/>
  <c r="AF18" i="19"/>
  <c r="N18" i="19"/>
  <c r="B148" i="17"/>
  <c r="D148" i="17" s="1"/>
  <c r="Q52" i="13"/>
  <c r="R50" i="13"/>
  <c r="I54" i="13"/>
  <c r="H56" i="13"/>
  <c r="I25" i="13"/>
  <c r="J25" i="13" s="1"/>
  <c r="F47" i="15"/>
  <c r="F49" i="15" s="1"/>
  <c r="F52" i="15"/>
  <c r="E45" i="15"/>
  <c r="P52" i="15"/>
  <c r="Q45" i="15"/>
  <c r="P47" i="15"/>
  <c r="P49" i="15" s="1"/>
  <c r="D24" i="13"/>
  <c r="F24" i="13" s="1"/>
  <c r="I24" i="13" s="1"/>
  <c r="J24" i="13" s="1"/>
  <c r="D23" i="13"/>
  <c r="F23" i="13" s="1"/>
  <c r="I23" i="13" s="1"/>
  <c r="J23" i="13" s="1"/>
  <c r="D27" i="13"/>
  <c r="F27" i="13" s="1"/>
  <c r="D26" i="13"/>
  <c r="F26" i="13" s="1"/>
  <c r="D21" i="13"/>
  <c r="F21" i="13" s="1"/>
  <c r="I21" i="13" s="1"/>
  <c r="J21" i="13" s="1"/>
  <c r="D22" i="13"/>
  <c r="F22" i="13" s="1"/>
  <c r="I22" i="13" s="1"/>
  <c r="J22" i="13" s="1"/>
  <c r="J28" i="19" l="1"/>
  <c r="J27" i="19" s="1"/>
  <c r="J24" i="19" s="1"/>
  <c r="J30" i="19"/>
  <c r="AG18" i="19"/>
  <c r="S50" i="13"/>
  <c r="S52" i="13" s="1"/>
  <c r="R52" i="13"/>
  <c r="J54" i="13"/>
  <c r="I56" i="13"/>
  <c r="J30" i="13"/>
  <c r="Q52" i="15"/>
  <c r="Q47" i="15"/>
  <c r="Q49" i="15" s="1"/>
  <c r="R45" i="15"/>
  <c r="E52" i="15"/>
  <c r="D45" i="15"/>
  <c r="E47" i="15"/>
  <c r="E49" i="15" s="1"/>
  <c r="I29" i="13"/>
  <c r="J26" i="19" l="1"/>
  <c r="J25" i="19"/>
  <c r="I7" i="13"/>
  <c r="D51" i="13" s="1"/>
  <c r="I32" i="19"/>
  <c r="K32" i="19" s="1"/>
  <c r="I24" i="19"/>
  <c r="I39" i="19"/>
  <c r="K39" i="19" s="1"/>
  <c r="I31" i="19"/>
  <c r="K31" i="19" s="1"/>
  <c r="I38" i="19"/>
  <c r="K38" i="19" s="1"/>
  <c r="I37" i="19"/>
  <c r="K37" i="19" s="1"/>
  <c r="I29" i="19"/>
  <c r="K29" i="19" s="1"/>
  <c r="I36" i="19"/>
  <c r="K36" i="19" s="1"/>
  <c r="I28" i="19"/>
  <c r="K28" i="19" s="1"/>
  <c r="I35" i="19"/>
  <c r="K35" i="19" s="1"/>
  <c r="I27" i="19"/>
  <c r="K27" i="19" s="1"/>
  <c r="I34" i="19"/>
  <c r="K34" i="19" s="1"/>
  <c r="I26" i="19"/>
  <c r="I33" i="19"/>
  <c r="K33" i="19" s="1"/>
  <c r="I25" i="19"/>
  <c r="K25" i="19" s="1"/>
  <c r="I30" i="19"/>
  <c r="K30" i="19" s="1"/>
  <c r="AH18" i="19"/>
  <c r="K54" i="13"/>
  <c r="J56" i="13"/>
  <c r="R52" i="15"/>
  <c r="S45" i="15"/>
  <c r="R47" i="15"/>
  <c r="R49" i="15" s="1"/>
  <c r="C45" i="15"/>
  <c r="D52" i="15"/>
  <c r="D47" i="15"/>
  <c r="D49" i="15" s="1"/>
  <c r="P51" i="13" l="1"/>
  <c r="Q51" i="13"/>
  <c r="C36" i="15"/>
  <c r="G36" i="15" s="1"/>
  <c r="H36" i="15" s="1"/>
  <c r="J36" i="15" s="1"/>
  <c r="M36" i="15" s="1"/>
  <c r="F51" i="13"/>
  <c r="L51" i="13"/>
  <c r="I55" i="13"/>
  <c r="K26" i="19"/>
  <c r="K24" i="19"/>
  <c r="H55" i="13"/>
  <c r="D55" i="13"/>
  <c r="C33" i="15"/>
  <c r="G33" i="15" s="1"/>
  <c r="H33" i="15" s="1"/>
  <c r="J33" i="15" s="1"/>
  <c r="M33" i="15" s="1"/>
  <c r="E51" i="13"/>
  <c r="M51" i="13"/>
  <c r="C34" i="15"/>
  <c r="G34" i="15" s="1"/>
  <c r="H34" i="15" s="1"/>
  <c r="J34" i="15" s="1"/>
  <c r="M34" i="15" s="1"/>
  <c r="G55" i="13"/>
  <c r="N51" i="13"/>
  <c r="C35" i="15"/>
  <c r="G35" i="15" s="1"/>
  <c r="H35" i="15" s="1"/>
  <c r="J35" i="15" s="1"/>
  <c r="M35" i="15" s="1"/>
  <c r="F55" i="13"/>
  <c r="C51" i="13"/>
  <c r="E55" i="13"/>
  <c r="H51" i="13"/>
  <c r="K51" i="13"/>
  <c r="C38" i="15"/>
  <c r="G38" i="15" s="1"/>
  <c r="H38" i="15" s="1"/>
  <c r="J38" i="15" s="1"/>
  <c r="M38" i="15" s="1"/>
  <c r="C37" i="15"/>
  <c r="G37" i="15" s="1"/>
  <c r="H37" i="15" s="1"/>
  <c r="J37" i="15" s="1"/>
  <c r="M37" i="15" s="1"/>
  <c r="R51" i="13"/>
  <c r="O25" i="15"/>
  <c r="G51" i="13"/>
  <c r="I11" i="13"/>
  <c r="I12" i="13" s="1"/>
  <c r="C66" i="14" s="1"/>
  <c r="C67" i="14" s="1"/>
  <c r="I26" i="14" s="1"/>
  <c r="C32" i="15"/>
  <c r="G32" i="15" s="1"/>
  <c r="H32" i="15" s="1"/>
  <c r="J32" i="15" s="1"/>
  <c r="M32" i="15" s="1"/>
  <c r="C55" i="13"/>
  <c r="J51" i="13"/>
  <c r="S51" i="13"/>
  <c r="O28" i="15"/>
  <c r="J55" i="13"/>
  <c r="I51" i="13"/>
  <c r="O51" i="13"/>
  <c r="AI18" i="19"/>
  <c r="L54" i="13"/>
  <c r="K55" i="13"/>
  <c r="K56" i="13"/>
  <c r="C52" i="15"/>
  <c r="C47" i="15"/>
  <c r="C49" i="15" s="1"/>
  <c r="S52" i="15"/>
  <c r="S47" i="15"/>
  <c r="S49" i="15" s="1"/>
  <c r="T45" i="15"/>
  <c r="M39" i="15" l="1"/>
  <c r="M53" i="15" s="1"/>
  <c r="I24" i="14"/>
  <c r="I22" i="14" s="1"/>
  <c r="C68" i="14"/>
  <c r="C69" i="14" s="1"/>
  <c r="M27" i="15" s="1"/>
  <c r="L56" i="13"/>
  <c r="M54" i="13"/>
  <c r="L55" i="13"/>
  <c r="T52" i="15"/>
  <c r="U45" i="15"/>
  <c r="T47" i="15"/>
  <c r="T49" i="15" s="1"/>
  <c r="R53" i="15" l="1"/>
  <c r="T53" i="15"/>
  <c r="I29" i="14"/>
  <c r="M26" i="15"/>
  <c r="P58" i="15" s="1"/>
  <c r="M24" i="15"/>
  <c r="F56" i="15" s="1"/>
  <c r="M28" i="15"/>
  <c r="E55" i="15" s="1"/>
  <c r="M25" i="15"/>
  <c r="C10" i="19"/>
  <c r="AA19" i="19" s="1"/>
  <c r="I30" i="14"/>
  <c r="C70" i="14"/>
  <c r="C71" i="14" s="1"/>
  <c r="I40" i="14" s="1"/>
  <c r="I38" i="14" s="1"/>
  <c r="I53" i="15"/>
  <c r="X53" i="15"/>
  <c r="G53" i="15"/>
  <c r="K53" i="15"/>
  <c r="C53" i="15"/>
  <c r="P53" i="15"/>
  <c r="L53" i="15"/>
  <c r="J53" i="15"/>
  <c r="H53" i="15"/>
  <c r="N53" i="15"/>
  <c r="O53" i="15"/>
  <c r="E53" i="15"/>
  <c r="V53" i="15"/>
  <c r="U53" i="15"/>
  <c r="F53" i="15"/>
  <c r="S53" i="15"/>
  <c r="D53" i="15"/>
  <c r="Q53" i="15"/>
  <c r="W53" i="15"/>
  <c r="K55" i="15"/>
  <c r="U55" i="15"/>
  <c r="M56" i="13"/>
  <c r="M55" i="13"/>
  <c r="N54" i="13"/>
  <c r="H59" i="15"/>
  <c r="C59" i="15"/>
  <c r="S59" i="15"/>
  <c r="R59" i="15"/>
  <c r="T59" i="15"/>
  <c r="F59" i="15"/>
  <c r="P59" i="15"/>
  <c r="L59" i="15"/>
  <c r="I59" i="15"/>
  <c r="D59" i="15"/>
  <c r="Q59" i="15"/>
  <c r="E59" i="15"/>
  <c r="O59" i="15"/>
  <c r="J59" i="15"/>
  <c r="K59" i="15"/>
  <c r="U59" i="15"/>
  <c r="G59" i="15"/>
  <c r="M59" i="15"/>
  <c r="N59" i="15"/>
  <c r="V45" i="15"/>
  <c r="V59" i="15" s="1"/>
  <c r="U52" i="15"/>
  <c r="U47" i="15"/>
  <c r="U49" i="15" s="1"/>
  <c r="F58" i="15" l="1"/>
  <c r="Q58" i="15"/>
  <c r="I33" i="14"/>
  <c r="I34" i="14" s="1"/>
  <c r="I35" i="14" s="1"/>
  <c r="AA35" i="19"/>
  <c r="AA55" i="19" s="1"/>
  <c r="AA39" i="19"/>
  <c r="AA59" i="19" s="1"/>
  <c r="AA25" i="19"/>
  <c r="AA45" i="19" s="1"/>
  <c r="AA29" i="19"/>
  <c r="AA49" i="19" s="1"/>
  <c r="AA33" i="19"/>
  <c r="AA53" i="19" s="1"/>
  <c r="AA27" i="19"/>
  <c r="AA47" i="19" s="1"/>
  <c r="AA36" i="19"/>
  <c r="AA56" i="19" s="1"/>
  <c r="AA32" i="19"/>
  <c r="AA52" i="19" s="1"/>
  <c r="AA34" i="19"/>
  <c r="AA54" i="19" s="1"/>
  <c r="AA38" i="19"/>
  <c r="AA58" i="19" s="1"/>
  <c r="AA30" i="19"/>
  <c r="AA50" i="19" s="1"/>
  <c r="AA28" i="19"/>
  <c r="AA48" i="19" s="1"/>
  <c r="AA37" i="19"/>
  <c r="AA57" i="19" s="1"/>
  <c r="AA31" i="19"/>
  <c r="AA51" i="19" s="1"/>
  <c r="AA24" i="19"/>
  <c r="AA44" i="19" s="1"/>
  <c r="AA26" i="19"/>
  <c r="AA46" i="19" s="1"/>
  <c r="L58" i="15"/>
  <c r="T58" i="15"/>
  <c r="H58" i="15"/>
  <c r="R56" i="15"/>
  <c r="S58" i="15"/>
  <c r="G56" i="15"/>
  <c r="N58" i="15"/>
  <c r="E58" i="15"/>
  <c r="L56" i="15"/>
  <c r="M58" i="15"/>
  <c r="I58" i="15"/>
  <c r="P56" i="15"/>
  <c r="O58" i="15"/>
  <c r="D58" i="15"/>
  <c r="K58" i="15"/>
  <c r="F55" i="15"/>
  <c r="AG19" i="19"/>
  <c r="T19" i="19"/>
  <c r="T34" i="19" s="1"/>
  <c r="T54" i="19" s="1"/>
  <c r="G55" i="15"/>
  <c r="C55" i="15"/>
  <c r="M55" i="15"/>
  <c r="J56" i="15"/>
  <c r="AF19" i="19"/>
  <c r="N55" i="15"/>
  <c r="M56" i="15"/>
  <c r="T55" i="15"/>
  <c r="D55" i="15"/>
  <c r="N56" i="15"/>
  <c r="S56" i="15"/>
  <c r="O56" i="15"/>
  <c r="Z19" i="19"/>
  <c r="D56" i="15"/>
  <c r="H56" i="15"/>
  <c r="Y19" i="19"/>
  <c r="T56" i="15"/>
  <c r="I56" i="15"/>
  <c r="R58" i="15"/>
  <c r="E56" i="15"/>
  <c r="AH19" i="19"/>
  <c r="AD19" i="19"/>
  <c r="Q19" i="19"/>
  <c r="Q37" i="19" s="1"/>
  <c r="Q57" i="19" s="1"/>
  <c r="J55" i="15"/>
  <c r="L55" i="15"/>
  <c r="C56" i="15"/>
  <c r="U56" i="15"/>
  <c r="Q56" i="15"/>
  <c r="AC19" i="19"/>
  <c r="U19" i="19"/>
  <c r="U25" i="19" s="1"/>
  <c r="U45" i="19" s="1"/>
  <c r="P19" i="19"/>
  <c r="P27" i="19" s="1"/>
  <c r="P47" i="19" s="1"/>
  <c r="X19" i="19"/>
  <c r="I55" i="15"/>
  <c r="R55" i="15"/>
  <c r="H55" i="15"/>
  <c r="K56" i="15"/>
  <c r="AI19" i="19"/>
  <c r="AB19" i="19"/>
  <c r="I42" i="14"/>
  <c r="C72" i="14"/>
  <c r="C73" i="14" s="1"/>
  <c r="C74" i="14" s="1"/>
  <c r="C75" i="14" s="1"/>
  <c r="C76" i="14" s="1"/>
  <c r="I13" i="15" s="1"/>
  <c r="I14" i="15" s="1"/>
  <c r="V46" i="15" s="1"/>
  <c r="U58" i="15"/>
  <c r="J58" i="15"/>
  <c r="Q55" i="15"/>
  <c r="S55" i="15"/>
  <c r="O55" i="15"/>
  <c r="N19" i="19"/>
  <c r="N24" i="19" s="1"/>
  <c r="N44" i="19" s="1"/>
  <c r="R19" i="19"/>
  <c r="V19" i="19"/>
  <c r="O19" i="19"/>
  <c r="S19" i="19"/>
  <c r="W19" i="19"/>
  <c r="G58" i="15"/>
  <c r="C58" i="15"/>
  <c r="P55" i="15"/>
  <c r="AE19" i="19"/>
  <c r="T25" i="19"/>
  <c r="T45" i="19" s="1"/>
  <c r="V56" i="15"/>
  <c r="V55" i="15"/>
  <c r="V58" i="15"/>
  <c r="N56" i="13"/>
  <c r="N55" i="13"/>
  <c r="O54" i="13"/>
  <c r="W45" i="15"/>
  <c r="V47" i="15"/>
  <c r="V49" i="15" s="1"/>
  <c r="V52" i="15"/>
  <c r="T37" i="19" l="1"/>
  <c r="T57" i="19" s="1"/>
  <c r="T36" i="19"/>
  <c r="T56" i="19" s="1"/>
  <c r="T32" i="19"/>
  <c r="T52" i="19" s="1"/>
  <c r="T27" i="19"/>
  <c r="T47" i="19" s="1"/>
  <c r="T28" i="19"/>
  <c r="T48" i="19" s="1"/>
  <c r="AA60" i="19"/>
  <c r="T39" i="19"/>
  <c r="T59" i="19" s="1"/>
  <c r="T24" i="19"/>
  <c r="T44" i="19" s="1"/>
  <c r="Q28" i="19"/>
  <c r="Q48" i="19" s="1"/>
  <c r="AG25" i="19"/>
  <c r="AG45" i="19" s="1"/>
  <c r="AG39" i="19"/>
  <c r="AG59" i="19" s="1"/>
  <c r="AG33" i="19"/>
  <c r="AG53" i="19" s="1"/>
  <c r="AG34" i="19"/>
  <c r="AG54" i="19" s="1"/>
  <c r="AG27" i="19"/>
  <c r="AG47" i="19" s="1"/>
  <c r="AG30" i="19"/>
  <c r="AG50" i="19" s="1"/>
  <c r="AG28" i="19"/>
  <c r="AG48" i="19" s="1"/>
  <c r="AG35" i="19"/>
  <c r="AG55" i="19" s="1"/>
  <c r="AG32" i="19"/>
  <c r="AG52" i="19" s="1"/>
  <c r="AG31" i="19"/>
  <c r="AG51" i="19" s="1"/>
  <c r="AG38" i="19"/>
  <c r="AG58" i="19" s="1"/>
  <c r="AG29" i="19"/>
  <c r="AG49" i="19" s="1"/>
  <c r="AG37" i="19"/>
  <c r="AG57" i="19" s="1"/>
  <c r="AG36" i="19"/>
  <c r="AG56" i="19" s="1"/>
  <c r="AG24" i="19"/>
  <c r="AG44" i="19" s="1"/>
  <c r="AG26" i="19"/>
  <c r="AG46" i="19" s="1"/>
  <c r="AI34" i="19"/>
  <c r="AI54" i="19" s="1"/>
  <c r="AI27" i="19"/>
  <c r="AI47" i="19" s="1"/>
  <c r="AI33" i="19"/>
  <c r="AI53" i="19" s="1"/>
  <c r="AI28" i="19"/>
  <c r="AI48" i="19" s="1"/>
  <c r="AI38" i="19"/>
  <c r="AI58" i="19" s="1"/>
  <c r="AI31" i="19"/>
  <c r="AI51" i="19" s="1"/>
  <c r="AI30" i="19"/>
  <c r="AI50" i="19" s="1"/>
  <c r="AI25" i="19"/>
  <c r="AI45" i="19" s="1"/>
  <c r="AI37" i="19"/>
  <c r="AI57" i="19" s="1"/>
  <c r="AI36" i="19"/>
  <c r="AI56" i="19" s="1"/>
  <c r="AI32" i="19"/>
  <c r="AI52" i="19" s="1"/>
  <c r="AI39" i="19"/>
  <c r="AI59" i="19" s="1"/>
  <c r="AI35" i="19"/>
  <c r="AI55" i="19" s="1"/>
  <c r="AI29" i="19"/>
  <c r="AI49" i="19" s="1"/>
  <c r="AI26" i="19"/>
  <c r="AI46" i="19" s="1"/>
  <c r="AI24" i="19"/>
  <c r="AI44" i="19" s="1"/>
  <c r="AH28" i="19"/>
  <c r="AH48" i="19" s="1"/>
  <c r="AH38" i="19"/>
  <c r="AH58" i="19" s="1"/>
  <c r="AH31" i="19"/>
  <c r="AH51" i="19" s="1"/>
  <c r="AH30" i="19"/>
  <c r="AH50" i="19" s="1"/>
  <c r="AH34" i="19"/>
  <c r="AH54" i="19" s="1"/>
  <c r="AH32" i="19"/>
  <c r="AH52" i="19" s="1"/>
  <c r="AH25" i="19"/>
  <c r="AH45" i="19" s="1"/>
  <c r="AH39" i="19"/>
  <c r="AH59" i="19" s="1"/>
  <c r="AH35" i="19"/>
  <c r="AH55" i="19" s="1"/>
  <c r="AH33" i="19"/>
  <c r="AH53" i="19" s="1"/>
  <c r="AH27" i="19"/>
  <c r="AH47" i="19" s="1"/>
  <c r="AH37" i="19"/>
  <c r="AH57" i="19" s="1"/>
  <c r="AH36" i="19"/>
  <c r="AH56" i="19" s="1"/>
  <c r="AH29" i="19"/>
  <c r="AH49" i="19" s="1"/>
  <c r="AH24" i="19"/>
  <c r="AH44" i="19" s="1"/>
  <c r="AH26" i="19"/>
  <c r="AH46" i="19" s="1"/>
  <c r="AF32" i="19"/>
  <c r="AF52" i="19" s="1"/>
  <c r="AF27" i="19"/>
  <c r="AF47" i="19" s="1"/>
  <c r="AF28" i="19"/>
  <c r="AF48" i="19" s="1"/>
  <c r="AF38" i="19"/>
  <c r="AF58" i="19" s="1"/>
  <c r="AF36" i="19"/>
  <c r="AF56" i="19" s="1"/>
  <c r="AF33" i="19"/>
  <c r="AF53" i="19" s="1"/>
  <c r="AF34" i="19"/>
  <c r="AF54" i="19" s="1"/>
  <c r="AF30" i="19"/>
  <c r="AF50" i="19" s="1"/>
  <c r="AF25" i="19"/>
  <c r="AF45" i="19" s="1"/>
  <c r="AF37" i="19"/>
  <c r="AF57" i="19" s="1"/>
  <c r="AF39" i="19"/>
  <c r="AF59" i="19" s="1"/>
  <c r="AF29" i="19"/>
  <c r="AF49" i="19" s="1"/>
  <c r="AF31" i="19"/>
  <c r="AF51" i="19" s="1"/>
  <c r="AF35" i="19"/>
  <c r="AF55" i="19" s="1"/>
  <c r="AF24" i="19"/>
  <c r="AF44" i="19" s="1"/>
  <c r="AF26" i="19"/>
  <c r="AF46" i="19" s="1"/>
  <c r="P38" i="19"/>
  <c r="P58" i="19" s="1"/>
  <c r="P33" i="19"/>
  <c r="P53" i="19" s="1"/>
  <c r="T30" i="19"/>
  <c r="T50" i="19" s="1"/>
  <c r="AD31" i="19"/>
  <c r="AD51" i="19" s="1"/>
  <c r="AD36" i="19"/>
  <c r="AD56" i="19" s="1"/>
  <c r="AD34" i="19"/>
  <c r="AD54" i="19" s="1"/>
  <c r="AD38" i="19"/>
  <c r="AD58" i="19" s="1"/>
  <c r="AD30" i="19"/>
  <c r="AD50" i="19" s="1"/>
  <c r="AD29" i="19"/>
  <c r="AD49" i="19" s="1"/>
  <c r="AD37" i="19"/>
  <c r="AD57" i="19" s="1"/>
  <c r="AD28" i="19"/>
  <c r="AD48" i="19" s="1"/>
  <c r="AD27" i="19"/>
  <c r="AD47" i="19" s="1"/>
  <c r="AD25" i="19"/>
  <c r="AD45" i="19" s="1"/>
  <c r="AD33" i="19"/>
  <c r="AD53" i="19" s="1"/>
  <c r="AD32" i="19"/>
  <c r="AD52" i="19" s="1"/>
  <c r="AD39" i="19"/>
  <c r="AD59" i="19" s="1"/>
  <c r="AD35" i="19"/>
  <c r="AD55" i="19" s="1"/>
  <c r="AD24" i="19"/>
  <c r="AD44" i="19" s="1"/>
  <c r="AD26" i="19"/>
  <c r="AD46" i="19" s="1"/>
  <c r="AC25" i="19"/>
  <c r="AC45" i="19" s="1"/>
  <c r="AC36" i="19"/>
  <c r="AC56" i="19" s="1"/>
  <c r="AC37" i="19"/>
  <c r="AC57" i="19" s="1"/>
  <c r="AC32" i="19"/>
  <c r="AC52" i="19" s="1"/>
  <c r="AC34" i="19"/>
  <c r="AC54" i="19" s="1"/>
  <c r="AC38" i="19"/>
  <c r="AC58" i="19" s="1"/>
  <c r="AC31" i="19"/>
  <c r="AC51" i="19" s="1"/>
  <c r="AC27" i="19"/>
  <c r="AC47" i="19" s="1"/>
  <c r="AC30" i="19"/>
  <c r="AC50" i="19" s="1"/>
  <c r="AC35" i="19"/>
  <c r="AC55" i="19" s="1"/>
  <c r="AC29" i="19"/>
  <c r="AC49" i="19" s="1"/>
  <c r="AC39" i="19"/>
  <c r="AC59" i="19" s="1"/>
  <c r="AC28" i="19"/>
  <c r="AC48" i="19" s="1"/>
  <c r="AC33" i="19"/>
  <c r="AC53" i="19" s="1"/>
  <c r="AC26" i="19"/>
  <c r="AC46" i="19" s="1"/>
  <c r="AC24" i="19"/>
  <c r="AC44" i="19" s="1"/>
  <c r="Z34" i="19"/>
  <c r="Z54" i="19" s="1"/>
  <c r="Z39" i="19"/>
  <c r="Z59" i="19" s="1"/>
  <c r="Z28" i="19"/>
  <c r="Z48" i="19" s="1"/>
  <c r="Z38" i="19"/>
  <c r="Z58" i="19" s="1"/>
  <c r="Z30" i="19"/>
  <c r="Z50" i="19" s="1"/>
  <c r="Z37" i="19"/>
  <c r="Z57" i="19" s="1"/>
  <c r="Z35" i="19"/>
  <c r="Z55" i="19" s="1"/>
  <c r="Z29" i="19"/>
  <c r="Z49" i="19" s="1"/>
  <c r="Z31" i="19"/>
  <c r="Z51" i="19" s="1"/>
  <c r="Z36" i="19"/>
  <c r="Z56" i="19" s="1"/>
  <c r="Z33" i="19"/>
  <c r="Z53" i="19" s="1"/>
  <c r="Z32" i="19"/>
  <c r="Z52" i="19" s="1"/>
  <c r="Z27" i="19"/>
  <c r="Z47" i="19" s="1"/>
  <c r="Z25" i="19"/>
  <c r="Z45" i="19" s="1"/>
  <c r="Z24" i="19"/>
  <c r="Z44" i="19" s="1"/>
  <c r="Z26" i="19"/>
  <c r="Z46" i="19" s="1"/>
  <c r="T38" i="19"/>
  <c r="T58" i="19" s="1"/>
  <c r="AB33" i="19"/>
  <c r="AB53" i="19" s="1"/>
  <c r="AB32" i="19"/>
  <c r="AB52" i="19" s="1"/>
  <c r="AB27" i="19"/>
  <c r="AB47" i="19" s="1"/>
  <c r="AB28" i="19"/>
  <c r="AB48" i="19" s="1"/>
  <c r="AB34" i="19"/>
  <c r="AB54" i="19" s="1"/>
  <c r="AB30" i="19"/>
  <c r="AB50" i="19" s="1"/>
  <c r="AB29" i="19"/>
  <c r="AB49" i="19" s="1"/>
  <c r="AB35" i="19"/>
  <c r="AB55" i="19" s="1"/>
  <c r="AB38" i="19"/>
  <c r="AB58" i="19" s="1"/>
  <c r="AB36" i="19"/>
  <c r="AB56" i="19" s="1"/>
  <c r="AB37" i="19"/>
  <c r="AB57" i="19" s="1"/>
  <c r="AB31" i="19"/>
  <c r="AB51" i="19" s="1"/>
  <c r="AB25" i="19"/>
  <c r="AB45" i="19" s="1"/>
  <c r="AB39" i="19"/>
  <c r="AB59" i="19" s="1"/>
  <c r="AB24" i="19"/>
  <c r="AB44" i="19" s="1"/>
  <c r="AB26" i="19"/>
  <c r="AB46" i="19" s="1"/>
  <c r="AE28" i="19"/>
  <c r="AE48" i="19" s="1"/>
  <c r="AE29" i="19"/>
  <c r="AE49" i="19" s="1"/>
  <c r="AE27" i="19"/>
  <c r="AE47" i="19" s="1"/>
  <c r="AE30" i="19"/>
  <c r="AE50" i="19" s="1"/>
  <c r="AE37" i="19"/>
  <c r="AE57" i="19" s="1"/>
  <c r="AE33" i="19"/>
  <c r="AE53" i="19" s="1"/>
  <c r="AE39" i="19"/>
  <c r="AE59" i="19" s="1"/>
  <c r="AE31" i="19"/>
  <c r="AE51" i="19" s="1"/>
  <c r="AE36" i="19"/>
  <c r="AE56" i="19" s="1"/>
  <c r="AE32" i="19"/>
  <c r="AE52" i="19" s="1"/>
  <c r="AE25" i="19"/>
  <c r="AE45" i="19" s="1"/>
  <c r="AE35" i="19"/>
  <c r="AE55" i="19" s="1"/>
  <c r="AE34" i="19"/>
  <c r="AE54" i="19" s="1"/>
  <c r="AE38" i="19"/>
  <c r="AE58" i="19" s="1"/>
  <c r="AE24" i="19"/>
  <c r="AE44" i="19" s="1"/>
  <c r="AE26" i="19"/>
  <c r="AE46" i="19" s="1"/>
  <c r="X27" i="19"/>
  <c r="X47" i="19" s="1"/>
  <c r="X25" i="19"/>
  <c r="X45" i="19" s="1"/>
  <c r="X33" i="19"/>
  <c r="X53" i="19" s="1"/>
  <c r="X28" i="19"/>
  <c r="X48" i="19" s="1"/>
  <c r="X38" i="19"/>
  <c r="X58" i="19" s="1"/>
  <c r="X37" i="19"/>
  <c r="X57" i="19" s="1"/>
  <c r="X39" i="19"/>
  <c r="X59" i="19" s="1"/>
  <c r="X29" i="19"/>
  <c r="X49" i="19" s="1"/>
  <c r="X34" i="19"/>
  <c r="X54" i="19" s="1"/>
  <c r="X30" i="19"/>
  <c r="X50" i="19" s="1"/>
  <c r="X32" i="19"/>
  <c r="X52" i="19" s="1"/>
  <c r="X35" i="19"/>
  <c r="X55" i="19" s="1"/>
  <c r="X36" i="19"/>
  <c r="X56" i="19" s="1"/>
  <c r="X31" i="19"/>
  <c r="X51" i="19" s="1"/>
  <c r="X24" i="19"/>
  <c r="X44" i="19" s="1"/>
  <c r="X26" i="19"/>
  <c r="X46" i="19" s="1"/>
  <c r="Y38" i="19"/>
  <c r="Y58" i="19" s="1"/>
  <c r="Y30" i="19"/>
  <c r="Y50" i="19" s="1"/>
  <c r="Y34" i="19"/>
  <c r="Y54" i="19" s="1"/>
  <c r="Y25" i="19"/>
  <c r="Y45" i="19" s="1"/>
  <c r="Y35" i="19"/>
  <c r="Y55" i="19" s="1"/>
  <c r="Y33" i="19"/>
  <c r="Y53" i="19" s="1"/>
  <c r="Y32" i="19"/>
  <c r="Y52" i="19" s="1"/>
  <c r="Y31" i="19"/>
  <c r="Y51" i="19" s="1"/>
  <c r="Y36" i="19"/>
  <c r="Y56" i="19" s="1"/>
  <c r="Y29" i="19"/>
  <c r="Y49" i="19" s="1"/>
  <c r="Y37" i="19"/>
  <c r="Y57" i="19" s="1"/>
  <c r="Y39" i="19"/>
  <c r="Y59" i="19" s="1"/>
  <c r="Y27" i="19"/>
  <c r="Y47" i="19" s="1"/>
  <c r="Y28" i="19"/>
  <c r="Y48" i="19" s="1"/>
  <c r="Y24" i="19"/>
  <c r="Y44" i="19" s="1"/>
  <c r="Y26" i="19"/>
  <c r="Y46" i="19" s="1"/>
  <c r="Q31" i="19"/>
  <c r="Q51" i="19" s="1"/>
  <c r="P29" i="19"/>
  <c r="P49" i="19" s="1"/>
  <c r="P28" i="19"/>
  <c r="P48" i="19" s="1"/>
  <c r="Q38" i="19"/>
  <c r="Q58" i="19" s="1"/>
  <c r="P35" i="19"/>
  <c r="P55" i="19" s="1"/>
  <c r="Q25" i="19"/>
  <c r="Q45" i="19" s="1"/>
  <c r="T29" i="19"/>
  <c r="T49" i="19" s="1"/>
  <c r="T35" i="19"/>
  <c r="T55" i="19" s="1"/>
  <c r="P36" i="19"/>
  <c r="P56" i="19" s="1"/>
  <c r="T33" i="19"/>
  <c r="T53" i="19" s="1"/>
  <c r="T31" i="19"/>
  <c r="T51" i="19" s="1"/>
  <c r="T26" i="19"/>
  <c r="T46" i="19" s="1"/>
  <c r="U36" i="19"/>
  <c r="U56" i="19" s="1"/>
  <c r="U28" i="19"/>
  <c r="U48" i="19" s="1"/>
  <c r="U29" i="19"/>
  <c r="U49" i="19" s="1"/>
  <c r="U39" i="19"/>
  <c r="U59" i="19" s="1"/>
  <c r="U38" i="19"/>
  <c r="U58" i="19" s="1"/>
  <c r="U32" i="19"/>
  <c r="U52" i="19" s="1"/>
  <c r="Q34" i="19"/>
  <c r="Q54" i="19" s="1"/>
  <c r="U33" i="19"/>
  <c r="U53" i="19" s="1"/>
  <c r="U30" i="19"/>
  <c r="U50" i="19" s="1"/>
  <c r="U37" i="19"/>
  <c r="U57" i="19" s="1"/>
  <c r="Q33" i="19"/>
  <c r="Q53" i="19" s="1"/>
  <c r="P39" i="19"/>
  <c r="P59" i="19" s="1"/>
  <c r="P34" i="19"/>
  <c r="P54" i="19" s="1"/>
  <c r="U35" i="19"/>
  <c r="U55" i="19" s="1"/>
  <c r="Q35" i="19"/>
  <c r="Q55" i="19" s="1"/>
  <c r="Q30" i="19"/>
  <c r="Q50" i="19" s="1"/>
  <c r="P30" i="19"/>
  <c r="P50" i="19" s="1"/>
  <c r="P37" i="19"/>
  <c r="P57" i="19" s="1"/>
  <c r="Q24" i="19"/>
  <c r="Q44" i="19" s="1"/>
  <c r="Q29" i="19"/>
  <c r="Q49" i="19" s="1"/>
  <c r="Q32" i="19"/>
  <c r="Q52" i="19" s="1"/>
  <c r="P24" i="19"/>
  <c r="P44" i="19" s="1"/>
  <c r="P25" i="19"/>
  <c r="P45" i="19" s="1"/>
  <c r="U27" i="19"/>
  <c r="U47" i="19" s="1"/>
  <c r="U31" i="19"/>
  <c r="U51" i="19" s="1"/>
  <c r="Q39" i="19"/>
  <c r="Q59" i="19" s="1"/>
  <c r="P26" i="19"/>
  <c r="P46" i="19" s="1"/>
  <c r="P31" i="19"/>
  <c r="P51" i="19" s="1"/>
  <c r="U24" i="19"/>
  <c r="U44" i="19" s="1"/>
  <c r="U34" i="19"/>
  <c r="U54" i="19" s="1"/>
  <c r="P32" i="19"/>
  <c r="P52" i="19" s="1"/>
  <c r="U26" i="19"/>
  <c r="U46" i="19" s="1"/>
  <c r="Q36" i="19"/>
  <c r="Q56" i="19" s="1"/>
  <c r="Q27" i="19"/>
  <c r="Q47" i="19" s="1"/>
  <c r="C77" i="14"/>
  <c r="C78" i="14" s="1"/>
  <c r="C131" i="17" s="1"/>
  <c r="Q26" i="19"/>
  <c r="Q46" i="19" s="1"/>
  <c r="W32" i="19"/>
  <c r="W52" i="19" s="1"/>
  <c r="W33" i="19"/>
  <c r="W53" i="19" s="1"/>
  <c r="W39" i="19"/>
  <c r="W59" i="19" s="1"/>
  <c r="W28" i="19"/>
  <c r="W48" i="19" s="1"/>
  <c r="W37" i="19"/>
  <c r="W57" i="19" s="1"/>
  <c r="W38" i="19"/>
  <c r="W58" i="19" s="1"/>
  <c r="W31" i="19"/>
  <c r="W51" i="19" s="1"/>
  <c r="W27" i="19"/>
  <c r="W47" i="19" s="1"/>
  <c r="W30" i="19"/>
  <c r="W50" i="19" s="1"/>
  <c r="W36" i="19"/>
  <c r="W56" i="19" s="1"/>
  <c r="W35" i="19"/>
  <c r="W55" i="19" s="1"/>
  <c r="W34" i="19"/>
  <c r="W54" i="19" s="1"/>
  <c r="W25" i="19"/>
  <c r="W45" i="19" s="1"/>
  <c r="W29" i="19"/>
  <c r="W49" i="19" s="1"/>
  <c r="W26" i="19"/>
  <c r="W46" i="19" s="1"/>
  <c r="W24" i="19"/>
  <c r="W44" i="19" s="1"/>
  <c r="N35" i="19"/>
  <c r="N55" i="19" s="1"/>
  <c r="N34" i="19"/>
  <c r="N54" i="19" s="1"/>
  <c r="N30" i="19"/>
  <c r="N50" i="19" s="1"/>
  <c r="N25" i="19"/>
  <c r="N45" i="19" s="1"/>
  <c r="N29" i="19"/>
  <c r="N49" i="19" s="1"/>
  <c r="N27" i="19"/>
  <c r="N47" i="19" s="1"/>
  <c r="N38" i="19"/>
  <c r="N58" i="19" s="1"/>
  <c r="N32" i="19"/>
  <c r="N52" i="19" s="1"/>
  <c r="N31" i="19"/>
  <c r="N51" i="19" s="1"/>
  <c r="N39" i="19"/>
  <c r="N59" i="19" s="1"/>
  <c r="N28" i="19"/>
  <c r="N48" i="19" s="1"/>
  <c r="N37" i="19"/>
  <c r="N57" i="19" s="1"/>
  <c r="N36" i="19"/>
  <c r="N56" i="19" s="1"/>
  <c r="N33" i="19"/>
  <c r="N53" i="19" s="1"/>
  <c r="N26" i="19"/>
  <c r="N46" i="19" s="1"/>
  <c r="S36" i="19"/>
  <c r="S56" i="19" s="1"/>
  <c r="S28" i="19"/>
  <c r="S48" i="19" s="1"/>
  <c r="S25" i="19"/>
  <c r="S45" i="19" s="1"/>
  <c r="S33" i="19"/>
  <c r="S53" i="19" s="1"/>
  <c r="S35" i="19"/>
  <c r="S55" i="19" s="1"/>
  <c r="S32" i="19"/>
  <c r="S52" i="19" s="1"/>
  <c r="S27" i="19"/>
  <c r="S47" i="19" s="1"/>
  <c r="S37" i="19"/>
  <c r="S57" i="19" s="1"/>
  <c r="S29" i="19"/>
  <c r="S49" i="19" s="1"/>
  <c r="S39" i="19"/>
  <c r="S59" i="19" s="1"/>
  <c r="S38" i="19"/>
  <c r="S58" i="19" s="1"/>
  <c r="S34" i="19"/>
  <c r="S54" i="19" s="1"/>
  <c r="S30" i="19"/>
  <c r="S50" i="19" s="1"/>
  <c r="S31" i="19"/>
  <c r="S51" i="19" s="1"/>
  <c r="S24" i="19"/>
  <c r="S44" i="19" s="1"/>
  <c r="S26" i="19"/>
  <c r="S46" i="19" s="1"/>
  <c r="O33" i="19"/>
  <c r="O53" i="19" s="1"/>
  <c r="O36" i="19"/>
  <c r="O56" i="19" s="1"/>
  <c r="O35" i="19"/>
  <c r="O55" i="19" s="1"/>
  <c r="O28" i="19"/>
  <c r="O48" i="19" s="1"/>
  <c r="O25" i="19"/>
  <c r="O45" i="19" s="1"/>
  <c r="O39" i="19"/>
  <c r="O59" i="19" s="1"/>
  <c r="O38" i="19"/>
  <c r="O58" i="19" s="1"/>
  <c r="O31" i="19"/>
  <c r="O51" i="19" s="1"/>
  <c r="O30" i="19"/>
  <c r="O50" i="19" s="1"/>
  <c r="O27" i="19"/>
  <c r="O47" i="19" s="1"/>
  <c r="O37" i="19"/>
  <c r="O57" i="19" s="1"/>
  <c r="O32" i="19"/>
  <c r="O52" i="19" s="1"/>
  <c r="O29" i="19"/>
  <c r="O49" i="19" s="1"/>
  <c r="O34" i="19"/>
  <c r="O54" i="19" s="1"/>
  <c r="O26" i="19"/>
  <c r="O46" i="19" s="1"/>
  <c r="O24" i="19"/>
  <c r="O44" i="19" s="1"/>
  <c r="V38" i="19"/>
  <c r="V58" i="19" s="1"/>
  <c r="V27" i="19"/>
  <c r="V47" i="19" s="1"/>
  <c r="V26" i="19"/>
  <c r="V46" i="19" s="1"/>
  <c r="V34" i="19"/>
  <c r="V54" i="19" s="1"/>
  <c r="V30" i="19"/>
  <c r="V50" i="19" s="1"/>
  <c r="V37" i="19"/>
  <c r="V57" i="19" s="1"/>
  <c r="V32" i="19"/>
  <c r="V52" i="19" s="1"/>
  <c r="V35" i="19"/>
  <c r="V55" i="19" s="1"/>
  <c r="V28" i="19"/>
  <c r="V48" i="19" s="1"/>
  <c r="V25" i="19"/>
  <c r="V45" i="19" s="1"/>
  <c r="V29" i="19"/>
  <c r="V49" i="19" s="1"/>
  <c r="V31" i="19"/>
  <c r="V51" i="19" s="1"/>
  <c r="V36" i="19"/>
  <c r="V56" i="19" s="1"/>
  <c r="V39" i="19"/>
  <c r="V59" i="19" s="1"/>
  <c r="V33" i="19"/>
  <c r="V53" i="19" s="1"/>
  <c r="V24" i="19"/>
  <c r="V44" i="19" s="1"/>
  <c r="R35" i="19"/>
  <c r="R55" i="19" s="1"/>
  <c r="R27" i="19"/>
  <c r="R47" i="19" s="1"/>
  <c r="R38" i="19"/>
  <c r="R58" i="19" s="1"/>
  <c r="R26" i="19"/>
  <c r="R46" i="19" s="1"/>
  <c r="R33" i="19"/>
  <c r="R53" i="19" s="1"/>
  <c r="R39" i="19"/>
  <c r="R59" i="19" s="1"/>
  <c r="R31" i="19"/>
  <c r="R51" i="19" s="1"/>
  <c r="R32" i="19"/>
  <c r="R52" i="19" s="1"/>
  <c r="R36" i="19"/>
  <c r="R56" i="19" s="1"/>
  <c r="R34" i="19"/>
  <c r="R54" i="19" s="1"/>
  <c r="R25" i="19"/>
  <c r="R45" i="19" s="1"/>
  <c r="R29" i="19"/>
  <c r="R49" i="19" s="1"/>
  <c r="R28" i="19"/>
  <c r="R48" i="19" s="1"/>
  <c r="R30" i="19"/>
  <c r="R50" i="19" s="1"/>
  <c r="R37" i="19"/>
  <c r="R57" i="19" s="1"/>
  <c r="R24" i="19"/>
  <c r="R44" i="19" s="1"/>
  <c r="W56" i="15"/>
  <c r="W55" i="15"/>
  <c r="V66" i="15"/>
  <c r="O55" i="13"/>
  <c r="O56" i="13"/>
  <c r="P54" i="13"/>
  <c r="W47" i="15"/>
  <c r="W49" i="15" s="1"/>
  <c r="W46" i="15"/>
  <c r="X45" i="15"/>
  <c r="W52" i="15"/>
  <c r="W59" i="15"/>
  <c r="W58" i="15"/>
  <c r="Y45" i="15"/>
  <c r="Z45" i="15"/>
  <c r="K46" i="15"/>
  <c r="K66" i="15" s="1"/>
  <c r="J46" i="15"/>
  <c r="J66" i="15" s="1"/>
  <c r="L46" i="15"/>
  <c r="L66" i="15" s="1"/>
  <c r="M46" i="15"/>
  <c r="M66" i="15" s="1"/>
  <c r="I46" i="15"/>
  <c r="I66" i="15" s="1"/>
  <c r="H46" i="15"/>
  <c r="H66" i="15" s="1"/>
  <c r="N46" i="15"/>
  <c r="N66" i="15" s="1"/>
  <c r="G46" i="15"/>
  <c r="G66" i="15" s="1"/>
  <c r="O46" i="15"/>
  <c r="O66" i="15" s="1"/>
  <c r="F46" i="15"/>
  <c r="F66" i="15" s="1"/>
  <c r="P46" i="15"/>
  <c r="P66" i="15" s="1"/>
  <c r="E46" i="15"/>
  <c r="E66" i="15" s="1"/>
  <c r="Q46" i="15"/>
  <c r="Q66" i="15" s="1"/>
  <c r="R46" i="15"/>
  <c r="R66" i="15" s="1"/>
  <c r="D46" i="15"/>
  <c r="D66" i="15" s="1"/>
  <c r="C46" i="15"/>
  <c r="C66" i="15" s="1"/>
  <c r="S46" i="15"/>
  <c r="S66" i="15" s="1"/>
  <c r="T46" i="15"/>
  <c r="T66" i="15" s="1"/>
  <c r="U46" i="15"/>
  <c r="U66" i="15" s="1"/>
  <c r="C79" i="14" l="1"/>
  <c r="W60" i="19"/>
  <c r="R60" i="19"/>
  <c r="Q60" i="19"/>
  <c r="X60" i="19"/>
  <c r="AB60" i="19"/>
  <c r="AC60" i="19"/>
  <c r="AD60" i="19"/>
  <c r="Y60" i="19"/>
  <c r="S60" i="19"/>
  <c r="Z60" i="19"/>
  <c r="N60" i="19"/>
  <c r="AI60" i="19"/>
  <c r="O60" i="19"/>
  <c r="T60" i="19"/>
  <c r="P60" i="19"/>
  <c r="V60" i="19"/>
  <c r="AE60" i="19"/>
  <c r="AF60" i="19"/>
  <c r="AH60" i="19"/>
  <c r="AG60" i="19"/>
  <c r="U60" i="19"/>
  <c r="C39" i="17"/>
  <c r="C56" i="17" s="1"/>
  <c r="C86" i="17" s="1"/>
  <c r="C87" i="17" s="1"/>
  <c r="C125" i="17" s="1"/>
  <c r="B152" i="17"/>
  <c r="D152" i="17" s="1"/>
  <c r="C102" i="17"/>
  <c r="C122" i="17" s="1"/>
  <c r="C127" i="17" s="1"/>
  <c r="B154" i="17"/>
  <c r="D154" i="17" s="1"/>
  <c r="X56" i="15"/>
  <c r="X55" i="15"/>
  <c r="W66" i="15"/>
  <c r="P55" i="13"/>
  <c r="P56" i="13"/>
  <c r="Q54" i="13"/>
  <c r="X52" i="15"/>
  <c r="X47" i="15"/>
  <c r="X49" i="15" s="1"/>
  <c r="X46" i="15"/>
  <c r="X58" i="15"/>
  <c r="X59" i="15"/>
  <c r="C123" i="17" l="1"/>
  <c r="B147" i="17"/>
  <c r="D147" i="17" s="1"/>
  <c r="D160" i="17" s="1"/>
  <c r="I3" i="12"/>
  <c r="X66" i="15"/>
  <c r="C71" i="15" s="1"/>
  <c r="R54" i="13"/>
  <c r="Q55" i="13"/>
  <c r="Q56" i="13"/>
  <c r="C130" i="17"/>
  <c r="C129" i="17"/>
  <c r="Z50" i="15"/>
  <c r="Z51" i="15"/>
  <c r="AB57" i="15"/>
  <c r="B160" i="17" l="1"/>
  <c r="C160" i="17" s="1"/>
  <c r="H160" i="17" s="1"/>
  <c r="I160" i="17" s="1"/>
  <c r="S54" i="13"/>
  <c r="R55" i="13"/>
  <c r="R56" i="13"/>
  <c r="D165" i="17"/>
  <c r="D161" i="17"/>
  <c r="V68" i="15"/>
  <c r="Q68" i="15"/>
  <c r="J68" i="15"/>
  <c r="W68" i="15"/>
  <c r="R68" i="15"/>
  <c r="U68" i="15"/>
  <c r="I68" i="15"/>
  <c r="G68" i="15"/>
  <c r="O68" i="15"/>
  <c r="E68" i="15"/>
  <c r="K68" i="15"/>
  <c r="C68" i="15"/>
  <c r="T68" i="15"/>
  <c r="M68" i="15"/>
  <c r="D68" i="15"/>
  <c r="H68" i="15"/>
  <c r="P68" i="15"/>
  <c r="N68" i="15"/>
  <c r="F68" i="15"/>
  <c r="S68" i="15"/>
  <c r="L68" i="15"/>
  <c r="X68" i="15"/>
  <c r="B165" i="17" l="1"/>
  <c r="B161" i="17"/>
  <c r="B162" i="17" s="1"/>
  <c r="B163" i="17" s="1"/>
  <c r="B164" i="17" s="1"/>
  <c r="T54" i="13"/>
  <c r="S56" i="13"/>
  <c r="S55" i="13"/>
  <c r="D162" i="17"/>
  <c r="C72" i="15"/>
  <c r="C161" i="17" l="1"/>
  <c r="H161" i="17" s="1"/>
  <c r="I161" i="17" s="1"/>
  <c r="C165" i="17"/>
  <c r="H165" i="17" s="1"/>
  <c r="I165" i="17" s="1"/>
  <c r="T56" i="13"/>
  <c r="U54" i="13"/>
  <c r="T55" i="13"/>
  <c r="C162" i="17"/>
  <c r="H162" i="17" s="1"/>
  <c r="I162" i="17" s="1"/>
  <c r="D163" i="17"/>
  <c r="U56" i="13" l="1"/>
  <c r="V54" i="13"/>
  <c r="U55" i="13"/>
  <c r="C163" i="17"/>
  <c r="H163" i="17" s="1"/>
  <c r="I163" i="17" s="1"/>
  <c r="D164" i="17"/>
  <c r="C164" i="17" s="1"/>
  <c r="H164" i="17" s="1"/>
  <c r="I164" i="17" s="1"/>
  <c r="V56" i="13" l="1"/>
  <c r="W54" i="13"/>
  <c r="V55" i="13"/>
  <c r="W55" i="13" l="1"/>
  <c r="W56" i="13"/>
  <c r="X54" i="13"/>
  <c r="X55" i="13" l="1"/>
  <c r="Y54" i="13"/>
  <c r="X56" i="13"/>
  <c r="Z54" i="13" l="1"/>
  <c r="Y55" i="13"/>
  <c r="Y56" i="13"/>
  <c r="AA54" i="13" l="1"/>
  <c r="Z55" i="13"/>
  <c r="Z56" i="13"/>
  <c r="AB54" i="13" l="1"/>
  <c r="AA55" i="13"/>
  <c r="AA56" i="13"/>
  <c r="AB56" i="13" l="1"/>
  <c r="AC54" i="13"/>
  <c r="AB55" i="13"/>
  <c r="AC56" i="13" l="1"/>
  <c r="AC55" i="13"/>
  <c r="AD54" i="13"/>
  <c r="AD56" i="13" l="1"/>
  <c r="AD55" i="13"/>
  <c r="AE54" i="13"/>
  <c r="AE55" i="13" l="1"/>
  <c r="AE56" i="13"/>
  <c r="AF54" i="13"/>
  <c r="AF55" i="13" l="1"/>
  <c r="AF56" i="13"/>
  <c r="AG54" i="13"/>
  <c r="AH54" i="13" l="1"/>
  <c r="AG55" i="13"/>
  <c r="AG56" i="13"/>
  <c r="AI54" i="13" l="1"/>
  <c r="AH55" i="13"/>
  <c r="AH56" i="13"/>
  <c r="AJ54" i="13" l="1"/>
  <c r="AI56" i="13"/>
  <c r="AI55" i="13"/>
  <c r="AJ56" i="13" l="1"/>
  <c r="AK54" i="13"/>
  <c r="AJ55" i="13"/>
  <c r="AK56" i="13" l="1"/>
  <c r="AL54" i="13"/>
  <c r="AK55" i="13"/>
  <c r="AL56" i="13" l="1"/>
  <c r="AM54" i="13"/>
  <c r="AL55" i="13"/>
  <c r="AM55" i="13" l="1"/>
  <c r="AM56" i="13"/>
  <c r="AN54" i="13"/>
  <c r="AN55" i="13" l="1"/>
  <c r="AO54" i="13"/>
  <c r="AN56" i="13"/>
  <c r="AP54" i="13" l="1"/>
  <c r="AO55" i="13"/>
  <c r="AO56" i="13"/>
  <c r="AQ54" i="13" l="1"/>
  <c r="AP55" i="13"/>
  <c r="AP56" i="13"/>
  <c r="AR54" i="13" l="1"/>
  <c r="AQ55" i="13"/>
  <c r="AQ56" i="13"/>
  <c r="AR56" i="13" l="1"/>
  <c r="AS54" i="13"/>
  <c r="AR55" i="13"/>
  <c r="AS56" i="13" l="1"/>
  <c r="AS55" i="13"/>
  <c r="AT54" i="13"/>
  <c r="AT56" i="13" l="1"/>
  <c r="AT55" i="13"/>
  <c r="AU54" i="13"/>
  <c r="AU55" i="13" l="1"/>
  <c r="AU56" i="13"/>
  <c r="AV54" i="13"/>
  <c r="AV55" i="13" l="1"/>
  <c r="AV56" i="13"/>
  <c r="AW54" i="13"/>
  <c r="AX54" i="13" l="1"/>
  <c r="AW55" i="13"/>
  <c r="AW56" i="13"/>
  <c r="AY54" i="13" l="1"/>
  <c r="AX55" i="13"/>
  <c r="AX56" i="13"/>
  <c r="AZ54" i="13" l="1"/>
  <c r="AY56" i="13"/>
  <c r="AY55" i="13"/>
  <c r="AZ56" i="13" l="1"/>
  <c r="BA54" i="13"/>
  <c r="AZ55" i="13"/>
  <c r="BA56" i="13" l="1"/>
  <c r="BB54" i="13"/>
  <c r="BA55" i="13"/>
  <c r="BB56" i="13" l="1"/>
  <c r="BC54" i="13"/>
  <c r="BB55" i="13"/>
  <c r="BC55" i="13" l="1"/>
  <c r="BC56" i="13"/>
  <c r="BD54" i="13"/>
  <c r="BD55" i="13" l="1"/>
  <c r="BD56" i="13"/>
  <c r="BE54" i="13"/>
  <c r="BF54" i="13" l="1"/>
  <c r="BE55" i="13"/>
  <c r="BE56" i="13"/>
  <c r="BG54" i="13" l="1"/>
  <c r="BF55" i="13"/>
  <c r="BF56" i="13"/>
  <c r="BH54" i="13" l="1"/>
  <c r="BG56" i="13"/>
  <c r="BG55" i="13"/>
  <c r="BH56" i="13" l="1"/>
  <c r="BI54" i="13"/>
  <c r="BH55" i="13"/>
  <c r="BI56" i="13" l="1"/>
  <c r="BI55" i="13"/>
  <c r="BJ54" i="13"/>
  <c r="BJ56" i="13" l="1"/>
  <c r="BJ55" i="13"/>
  <c r="BK54" i="13"/>
  <c r="BK55" i="13" l="1"/>
  <c r="BK56" i="13"/>
  <c r="BL54" i="13"/>
  <c r="BL55" i="13" l="1"/>
  <c r="BM54" i="13"/>
  <c r="BL56" i="13"/>
  <c r="BN54" i="13" l="1"/>
  <c r="BM55" i="13"/>
  <c r="BM56" i="13"/>
  <c r="BO54" i="13" l="1"/>
  <c r="BN55" i="13"/>
  <c r="BN56" i="13"/>
  <c r="BP54" i="13" l="1"/>
  <c r="BO56" i="13"/>
  <c r="BO55" i="13"/>
  <c r="BP56" i="13" l="1"/>
  <c r="BQ54" i="13"/>
  <c r="BP55" i="13"/>
  <c r="BQ56" i="13" l="1"/>
  <c r="BR54" i="13"/>
  <c r="BQ55" i="13"/>
  <c r="BR56" i="13" l="1"/>
  <c r="BS54" i="13"/>
  <c r="BR55" i="13"/>
  <c r="BS55" i="13" l="1"/>
  <c r="BS56" i="13"/>
  <c r="BT54" i="13"/>
  <c r="BT55" i="13" l="1"/>
  <c r="BU54" i="13"/>
  <c r="BT56" i="13"/>
  <c r="BV54" i="13" l="1"/>
  <c r="BU55" i="13"/>
  <c r="BU56" i="13"/>
  <c r="BW54" i="13" l="1"/>
  <c r="BV55" i="13"/>
  <c r="BV56" i="13"/>
  <c r="BX54" i="13" l="1"/>
  <c r="BW55" i="13"/>
  <c r="BW56" i="13"/>
  <c r="BX56" i="13" l="1"/>
  <c r="BY54" i="13"/>
  <c r="BX55" i="13"/>
  <c r="BY56" i="13" l="1"/>
  <c r="BY55" i="13"/>
  <c r="BZ54" i="13"/>
  <c r="BZ56" i="13" l="1"/>
  <c r="BZ55" i="13"/>
  <c r="CA54" i="13"/>
  <c r="CA55" i="13" l="1"/>
  <c r="CA56" i="13"/>
  <c r="CB54" i="13"/>
  <c r="CB55" i="13" l="1"/>
  <c r="CC54" i="13"/>
  <c r="CB56" i="13"/>
  <c r="CD54" i="13" l="1"/>
  <c r="CC55" i="13"/>
  <c r="CC56" i="13"/>
  <c r="CE54" i="13" l="1"/>
  <c r="CD55" i="13"/>
  <c r="CD56" i="13"/>
  <c r="CF54" i="13" l="1"/>
  <c r="CE56" i="13"/>
  <c r="CE55" i="13"/>
  <c r="CF56" i="13" l="1"/>
  <c r="CG54" i="13"/>
  <c r="CF55" i="13"/>
  <c r="CG56" i="13" l="1"/>
  <c r="CH54" i="13"/>
  <c r="CG55" i="13"/>
  <c r="CH56" i="13" l="1"/>
  <c r="CI54" i="13"/>
  <c r="CH55" i="13"/>
  <c r="CI55" i="13" l="1"/>
  <c r="CI56" i="13"/>
  <c r="CJ54" i="13"/>
  <c r="CJ55" i="13" l="1"/>
  <c r="CK54" i="13"/>
  <c r="CJ56" i="13"/>
  <c r="CL54" i="13" l="1"/>
  <c r="CK55" i="13"/>
  <c r="CK56" i="13"/>
  <c r="CM54" i="13" l="1"/>
  <c r="CL55" i="13"/>
  <c r="CL56" i="13"/>
  <c r="CN54" i="13" l="1"/>
  <c r="CM56" i="13"/>
  <c r="CM55" i="13"/>
  <c r="CN56" i="13" l="1"/>
  <c r="CO54" i="13"/>
  <c r="CN55" i="13"/>
  <c r="CO56" i="13" l="1"/>
  <c r="CO55" i="13"/>
</calcChain>
</file>

<file path=xl/comments1.xml><?xml version="1.0" encoding="utf-8"?>
<comments xmlns="http://schemas.openxmlformats.org/spreadsheetml/2006/main">
  <authors>
    <author>Tony Hays</author>
  </authors>
  <commentList>
    <comment ref="A22" authorId="0" shapeId="0">
      <text>
        <r>
          <rPr>
            <b/>
            <sz val="8"/>
            <color indexed="81"/>
            <rFont val="Tahoma"/>
            <family val="2"/>
          </rPr>
          <t>Tony Hays:</t>
        </r>
        <r>
          <rPr>
            <sz val="8"/>
            <color indexed="81"/>
            <rFont val="Tahoma"/>
            <family val="2"/>
          </rPr>
          <t xml:space="preserve">
Defined as (wing frontal area)/Sref</t>
        </r>
      </text>
    </comment>
    <comment ref="C55" authorId="0" shapeId="0">
      <text>
        <r>
          <rPr>
            <b/>
            <sz val="9"/>
            <color indexed="81"/>
            <rFont val="Tahoma"/>
            <family val="2"/>
          </rPr>
          <t>Tony Hays:</t>
        </r>
        <r>
          <rPr>
            <sz val="9"/>
            <color indexed="81"/>
            <rFont val="Tahoma"/>
            <family val="2"/>
          </rPr>
          <t xml:space="preserve">
Assume diamond shaped fuselage</t>
        </r>
      </text>
    </comment>
    <comment ref="A56" authorId="0" shapeId="0">
      <text>
        <r>
          <rPr>
            <b/>
            <sz val="9"/>
            <color indexed="81"/>
            <rFont val="Tahoma"/>
            <family val="2"/>
          </rPr>
          <t>Tony Hays:</t>
        </r>
        <r>
          <rPr>
            <sz val="9"/>
            <color indexed="81"/>
            <rFont val="Tahoma"/>
            <family val="2"/>
          </rPr>
          <t xml:space="preserve">
Actually calculating nacelle x-s area.</t>
        </r>
      </text>
    </comment>
  </commentList>
</comments>
</file>

<file path=xl/comments2.xml><?xml version="1.0" encoding="utf-8"?>
<comments xmlns="http://schemas.openxmlformats.org/spreadsheetml/2006/main">
  <authors>
    <author>Tony Hays</author>
  </authors>
  <commentList>
    <comment ref="C10" authorId="0" shapeId="0">
      <text>
        <r>
          <rPr>
            <b/>
            <sz val="8"/>
            <color indexed="81"/>
            <rFont val="Tahoma"/>
            <family val="2"/>
          </rPr>
          <t>Tony Hays:</t>
        </r>
        <r>
          <rPr>
            <sz val="8"/>
            <color indexed="81"/>
            <rFont val="Tahoma"/>
            <family val="2"/>
          </rPr>
          <t xml:space="preserve">
Use NicolaiCarichner Fig G.9</t>
        </r>
      </text>
    </comment>
  </commentList>
</comments>
</file>

<file path=xl/comments3.xml><?xml version="1.0" encoding="utf-8"?>
<comments xmlns="http://schemas.openxmlformats.org/spreadsheetml/2006/main">
  <authors>
    <author>Tony Hays</author>
  </authors>
  <commentList>
    <comment ref="C9" authorId="0" shapeId="0">
      <text>
        <r>
          <rPr>
            <b/>
            <sz val="8"/>
            <color indexed="81"/>
            <rFont val="Tahoma"/>
            <family val="2"/>
          </rPr>
          <t>Tony Hays:</t>
        </r>
        <r>
          <rPr>
            <sz val="8"/>
            <color indexed="81"/>
            <rFont val="Tahoma"/>
            <family val="2"/>
          </rPr>
          <t xml:space="preserve">
Schaufele Fig. 12-15</t>
        </r>
      </text>
    </comment>
    <comment ref="C10" authorId="0" shapeId="0">
      <text>
        <r>
          <rPr>
            <b/>
            <sz val="8"/>
            <color indexed="81"/>
            <rFont val="Tahoma"/>
            <family val="2"/>
          </rPr>
          <t>Tony Hays:</t>
        </r>
        <r>
          <rPr>
            <sz val="8"/>
            <color indexed="81"/>
            <rFont val="Tahoma"/>
            <family val="2"/>
          </rPr>
          <t xml:space="preserve">
Schaufele Fig. 12-17
</t>
        </r>
      </text>
    </comment>
    <comment ref="C14" authorId="0" shapeId="0">
      <text>
        <r>
          <rPr>
            <b/>
            <sz val="8"/>
            <color indexed="81"/>
            <rFont val="Tahoma"/>
            <family val="2"/>
          </rPr>
          <t>Tony Hays:</t>
        </r>
        <r>
          <rPr>
            <sz val="8"/>
            <color indexed="81"/>
            <rFont val="Tahoma"/>
            <family val="2"/>
          </rPr>
          <t xml:space="preserve">
Schaufele Fig. 12-15</t>
        </r>
      </text>
    </comment>
    <comment ref="A28" authorId="0" shapeId="0">
      <text>
        <r>
          <rPr>
            <b/>
            <sz val="8"/>
            <color indexed="81"/>
            <rFont val="Tahoma"/>
            <family val="2"/>
          </rPr>
          <t>Tony Hays:</t>
        </r>
        <r>
          <rPr>
            <sz val="8"/>
            <color indexed="81"/>
            <rFont val="Tahoma"/>
            <family val="2"/>
          </rPr>
          <t xml:space="preserve">
Used for both commercial and mil requirements</t>
        </r>
      </text>
    </comment>
    <comment ref="K28" authorId="0" shapeId="0">
      <text>
        <r>
          <rPr>
            <b/>
            <sz val="8"/>
            <color indexed="81"/>
            <rFont val="Tahoma"/>
            <family val="2"/>
          </rPr>
          <t>Tony Hays:</t>
        </r>
        <r>
          <rPr>
            <sz val="8"/>
            <color indexed="81"/>
            <rFont val="Tahoma"/>
            <family val="2"/>
          </rPr>
          <t xml:space="preserve">
Raymer HBPR engine p. 983</t>
        </r>
      </text>
    </comment>
    <comment ref="A31" authorId="0" shapeId="0">
      <text>
        <r>
          <rPr>
            <b/>
            <sz val="8"/>
            <color indexed="81"/>
            <rFont val="Tahoma"/>
            <family val="2"/>
          </rPr>
          <t>Tony Hays:</t>
        </r>
        <r>
          <rPr>
            <sz val="8"/>
            <color indexed="81"/>
            <rFont val="Tahoma"/>
            <family val="2"/>
          </rPr>
          <t xml:space="preserve">
See Roskam I page 140 et seq.</t>
        </r>
      </text>
    </comment>
    <comment ref="A37" authorId="0" shapeId="0">
      <text>
        <r>
          <rPr>
            <b/>
            <sz val="8"/>
            <color indexed="81"/>
            <rFont val="Tahoma"/>
            <family val="2"/>
          </rPr>
          <t>Tony Hays:</t>
        </r>
        <r>
          <rPr>
            <sz val="8"/>
            <color indexed="81"/>
            <rFont val="Tahoma"/>
            <family val="2"/>
          </rPr>
          <t xml:space="preserve">
Roskam I p.142. gear down.</t>
        </r>
      </text>
    </comment>
    <comment ref="A38" authorId="0" shapeId="0">
      <text>
        <r>
          <rPr>
            <b/>
            <sz val="8"/>
            <color indexed="81"/>
            <rFont val="Tahoma"/>
            <family val="2"/>
          </rPr>
          <t>Tony Hays:</t>
        </r>
        <r>
          <rPr>
            <sz val="8"/>
            <color indexed="81"/>
            <rFont val="Tahoma"/>
            <family val="2"/>
          </rPr>
          <t xml:space="preserve">
See Roskam I p. 142.  Gear up, see 25.121(d)(1)(iv).</t>
        </r>
      </text>
    </comment>
    <comment ref="Z50" authorId="0" shapeId="0">
      <text>
        <r>
          <rPr>
            <b/>
            <sz val="9"/>
            <color indexed="81"/>
            <rFont val="Tahoma"/>
            <family val="2"/>
          </rPr>
          <t>Tony Hays:</t>
        </r>
        <r>
          <rPr>
            <sz val="9"/>
            <color indexed="81"/>
            <rFont val="Tahoma"/>
            <family val="2"/>
          </rPr>
          <t xml:space="preserve">
Thiis sets the upper limit of the landing constraint line</t>
        </r>
      </text>
    </comment>
    <comment ref="Z51" authorId="0" shapeId="0">
      <text>
        <r>
          <rPr>
            <b/>
            <sz val="9"/>
            <color indexed="81"/>
            <rFont val="Tahoma"/>
            <family val="2"/>
          </rPr>
          <t>Tony Hays:</t>
        </r>
        <r>
          <rPr>
            <sz val="9"/>
            <color indexed="81"/>
            <rFont val="Tahoma"/>
            <family val="2"/>
          </rPr>
          <t xml:space="preserve">
This sets the lower limit on the landing constraint line.</t>
        </r>
      </text>
    </comment>
  </commentList>
</comments>
</file>

<file path=xl/comments4.xml><?xml version="1.0" encoding="utf-8"?>
<comments xmlns="http://schemas.openxmlformats.org/spreadsheetml/2006/main">
  <authors>
    <author>Tony Hays</author>
  </authors>
  <commentList>
    <comment ref="G22" authorId="0" shapeId="0">
      <text>
        <r>
          <rPr>
            <b/>
            <sz val="9"/>
            <color indexed="81"/>
            <rFont val="Tahoma"/>
            <family val="2"/>
          </rPr>
          <t>Tony Hays:</t>
        </r>
        <r>
          <rPr>
            <sz val="9"/>
            <color indexed="81"/>
            <rFont val="Tahoma"/>
            <family val="2"/>
          </rPr>
          <t xml:space="preserve">
Raymer Appendix E</t>
        </r>
      </text>
    </comment>
    <comment ref="I22" authorId="0" shapeId="0">
      <text>
        <r>
          <rPr>
            <b/>
            <sz val="9"/>
            <color indexed="81"/>
            <rFont val="Tahoma"/>
            <family val="2"/>
          </rPr>
          <t>Tony Hays:</t>
        </r>
        <r>
          <rPr>
            <sz val="9"/>
            <color indexed="81"/>
            <rFont val="Tahoma"/>
            <family val="2"/>
          </rPr>
          <t xml:space="preserve">
Assume constant</t>
        </r>
      </text>
    </comment>
    <comment ref="J22" authorId="0" shapeId="0">
      <text>
        <r>
          <rPr>
            <b/>
            <sz val="9"/>
            <color indexed="81"/>
            <rFont val="Tahoma"/>
            <family val="2"/>
          </rPr>
          <t>Tony Hays:</t>
        </r>
        <r>
          <rPr>
            <sz val="9"/>
            <color indexed="81"/>
            <rFont val="Tahoma"/>
            <family val="2"/>
          </rPr>
          <t xml:space="preserve">
=n (12.45), p 448.  CD0(wave) = D/q(wave)/S</t>
        </r>
      </text>
    </comment>
    <comment ref="L22" authorId="0" shapeId="0">
      <text>
        <r>
          <rPr>
            <b/>
            <sz val="9"/>
            <color indexed="81"/>
            <rFont val="Tahoma"/>
            <family val="2"/>
          </rPr>
          <t>Tony Hays:</t>
        </r>
        <r>
          <rPr>
            <sz val="9"/>
            <color indexed="81"/>
            <rFont val="Tahoma"/>
            <family val="2"/>
          </rPr>
          <t xml:space="preserve">
From pages 414-415
K = 1/CLapha = 1/Cnalpha
or use Nicolai Fig 13.3b
(F-22 AR=2.3)</t>
        </r>
      </text>
    </comment>
    <comment ref="N22" authorId="0" shapeId="0">
      <text>
        <r>
          <rPr>
            <b/>
            <sz val="9"/>
            <color indexed="81"/>
            <rFont val="Tahoma"/>
            <family val="2"/>
          </rPr>
          <t>Tony Hays:</t>
        </r>
        <r>
          <rPr>
            <sz val="9"/>
            <color indexed="81"/>
            <rFont val="Tahoma"/>
            <family val="2"/>
          </rPr>
          <t xml:space="preserve">
=n (5.29)</t>
        </r>
      </text>
    </comment>
    <comment ref="J28" authorId="0" shapeId="0">
      <text>
        <r>
          <rPr>
            <b/>
            <sz val="9"/>
            <color indexed="81"/>
            <rFont val="Tahoma"/>
            <family val="2"/>
          </rPr>
          <t>Tony Hays:</t>
        </r>
        <r>
          <rPr>
            <sz val="9"/>
            <color indexed="81"/>
            <rFont val="Tahoma"/>
            <family val="2"/>
          </rPr>
          <t xml:space="preserve">
See text on Raymer p. 452
</t>
        </r>
      </text>
    </comment>
    <comment ref="J29" authorId="0" shapeId="0">
      <text>
        <r>
          <rPr>
            <b/>
            <sz val="9"/>
            <color indexed="81"/>
            <rFont val="Tahoma"/>
            <family val="2"/>
          </rPr>
          <t>Tony Hays:</t>
        </r>
        <r>
          <rPr>
            <sz val="9"/>
            <color indexed="81"/>
            <rFont val="Tahoma"/>
            <family val="2"/>
          </rPr>
          <t xml:space="preserve">
Smoothed value</t>
        </r>
      </text>
    </comment>
    <comment ref="J30" authorId="0" shapeId="0">
      <text>
        <r>
          <rPr>
            <b/>
            <sz val="9"/>
            <color indexed="81"/>
            <rFont val="Tahoma"/>
            <family val="2"/>
          </rPr>
          <t>Tony Hays:</t>
        </r>
        <r>
          <rPr>
            <sz val="9"/>
            <color indexed="81"/>
            <rFont val="Tahoma"/>
            <family val="2"/>
          </rPr>
          <t xml:space="preserve">
Smoothed value</t>
        </r>
      </text>
    </comment>
    <comment ref="J31" authorId="0" shapeId="0">
      <text>
        <r>
          <rPr>
            <b/>
            <sz val="9"/>
            <color indexed="81"/>
            <rFont val="Tahoma"/>
            <family val="2"/>
          </rPr>
          <t>Tony Hays:</t>
        </r>
        <r>
          <rPr>
            <sz val="9"/>
            <color indexed="81"/>
            <rFont val="Tahoma"/>
            <family val="2"/>
          </rPr>
          <t xml:space="preserve">
Raymer =n (12.45)</t>
        </r>
      </text>
    </comment>
  </commentList>
</comments>
</file>

<file path=xl/comments5.xml><?xml version="1.0" encoding="utf-8"?>
<comments xmlns="http://schemas.openxmlformats.org/spreadsheetml/2006/main">
  <authors>
    <author>Tony Hays</author>
  </authors>
  <commentList>
    <comment ref="E7" authorId="0" shapeId="0">
      <text>
        <r>
          <rPr>
            <b/>
            <sz val="8"/>
            <color indexed="81"/>
            <rFont val="Tahoma"/>
            <family val="2"/>
          </rPr>
          <t>Tony Hays:</t>
        </r>
        <r>
          <rPr>
            <sz val="8"/>
            <color indexed="81"/>
            <rFont val="Tahoma"/>
            <family val="2"/>
          </rPr>
          <t xml:space="preserve">
These cell contents don't do anything.  They are just reference numbers.</t>
        </r>
      </text>
    </comment>
    <comment ref="A52" authorId="0" shapeId="0">
      <text>
        <r>
          <rPr>
            <b/>
            <sz val="8"/>
            <color indexed="81"/>
            <rFont val="Tahoma"/>
            <family val="2"/>
          </rPr>
          <t>Tony Hays:</t>
        </r>
        <r>
          <rPr>
            <sz val="8"/>
            <color indexed="81"/>
            <rFont val="Tahoma"/>
            <family val="2"/>
          </rPr>
          <t xml:space="preserve">
See Roskam V p 69
For transport aircraft with TOGW &gt; 12,500 lb</t>
        </r>
      </text>
    </comment>
    <comment ref="C56" authorId="0" shapeId="0">
      <text>
        <r>
          <rPr>
            <b/>
            <sz val="8"/>
            <color indexed="81"/>
            <rFont val="Tahoma"/>
            <family val="2"/>
          </rPr>
          <t>Tony Hays:</t>
        </r>
        <r>
          <rPr>
            <sz val="8"/>
            <color indexed="81"/>
            <rFont val="Tahoma"/>
            <family val="2"/>
          </rPr>
          <t xml:space="preserve">
Torenbeek =n 8-12
Not valid for wing-mounted engines</t>
        </r>
      </text>
    </comment>
    <comment ref="C125" authorId="0" shapeId="0">
      <text>
        <r>
          <rPr>
            <b/>
            <sz val="9"/>
            <color indexed="81"/>
            <rFont val="Tahoma"/>
            <family val="2"/>
          </rPr>
          <t>Tony Hays:</t>
        </r>
        <r>
          <rPr>
            <sz val="9"/>
            <color indexed="81"/>
            <rFont val="Tahoma"/>
            <family val="2"/>
          </rPr>
          <t xml:space="preserve">
Using either Torenbeek or GD weight buildup. Use whichever is appropriate</t>
        </r>
      </text>
    </comment>
    <comment ref="C144" authorId="0" shapeId="0">
      <text>
        <r>
          <rPr>
            <b/>
            <sz val="8"/>
            <color indexed="81"/>
            <rFont val="Tahoma"/>
            <family val="2"/>
          </rPr>
          <t>Tony Hays:</t>
        </r>
        <r>
          <rPr>
            <sz val="8"/>
            <color indexed="81"/>
            <rFont val="Tahoma"/>
            <family val="2"/>
          </rPr>
          <t xml:space="preserve">
Referenced to the nose of the airplane.</t>
        </r>
      </text>
    </comment>
  </commentList>
</comments>
</file>

<file path=xl/comments6.xml><?xml version="1.0" encoding="utf-8"?>
<comments xmlns="http://schemas.openxmlformats.org/spreadsheetml/2006/main">
  <authors>
    <author>Tony Hays</author>
  </authors>
  <commentList>
    <comment ref="A19" authorId="0" shapeId="0">
      <text>
        <r>
          <rPr>
            <b/>
            <sz val="9"/>
            <color indexed="81"/>
            <rFont val="Tahoma"/>
            <family val="2"/>
          </rPr>
          <t>Tony Hays:</t>
        </r>
        <r>
          <rPr>
            <sz val="9"/>
            <color indexed="81"/>
            <rFont val="Tahoma"/>
            <family val="2"/>
          </rPr>
          <t xml:space="preserve">
Raymer Appendix E</t>
        </r>
      </text>
    </comment>
  </commentList>
</comments>
</file>

<file path=xl/sharedStrings.xml><?xml version="1.0" encoding="utf-8"?>
<sst xmlns="http://schemas.openxmlformats.org/spreadsheetml/2006/main" count="956" uniqueCount="817">
  <si>
    <t>MICROASSET</t>
  </si>
  <si>
    <t>DATE WRITTEN:</t>
  </si>
  <si>
    <t>09/06/88</t>
  </si>
  <si>
    <t>MACROS</t>
  </si>
  <si>
    <t>ADVANCED DESIGN SIZING PROGRAM</t>
  </si>
  <si>
    <t>TODAY'S DATE:</t>
  </si>
  <si>
    <t>\G</t>
  </si>
  <si>
    <t>{let j3,+"{goto}"&amp;@CELLPOINTER("contents")&amp;"~"}~</t>
  </si>
  <si>
    <t>{goto}BASELINE~</t>
  </si>
  <si>
    <t>Baseline aircraft dimensions and weights</t>
  </si>
  <si>
    <t>Mission model to calculate fuel fraction</t>
  </si>
  <si>
    <t>Performance constraints (T/W and W/S)</t>
  </si>
  <si>
    <t>Component weight buildup</t>
  </si>
  <si>
    <t>Propulsion data</t>
  </si>
  <si>
    <t>Atmospheric conditions</t>
  </si>
  <si>
    <t>Aerodynamic data</t>
  </si>
  <si>
    <t>DRAG POLARS</t>
  </si>
  <si>
    <t>BALANCE</t>
  </si>
  <si>
    <t>BASELINE AIRCRAFT DATA:</t>
  </si>
  <si>
    <t xml:space="preserve"> </t>
  </si>
  <si>
    <t>Takeoff gross weight [lb]</t>
  </si>
  <si>
    <t>TOGW</t>
  </si>
  <si>
    <t>Crew + equipment [lb]</t>
  </si>
  <si>
    <t>CREW</t>
  </si>
  <si>
    <t>Payload weight (exc. crew)</t>
  </si>
  <si>
    <t>WPAY</t>
  </si>
  <si>
    <t>Expendables [lb]</t>
  </si>
  <si>
    <t>EXPEND</t>
  </si>
  <si>
    <t>Fixed payload [lb]</t>
  </si>
  <si>
    <t>PAYLOAD</t>
  </si>
  <si>
    <t>TOW</t>
  </si>
  <si>
    <t>WOS</t>
  </si>
  <si>
    <t>Used in empty weight equations:</t>
  </si>
  <si>
    <t>Ultimate load factor</t>
  </si>
  <si>
    <t>NULT</t>
  </si>
  <si>
    <t>Max sea level Mach no.</t>
  </si>
  <si>
    <t>MMAX</t>
  </si>
  <si>
    <t>Max q [lb/ft²]</t>
  </si>
  <si>
    <t>QMAX</t>
  </si>
  <si>
    <t>Aircraft geometry.</t>
  </si>
  <si>
    <t>(Note: Aspect ratio MUST be defined. All other geometry can be undefined,</t>
  </si>
  <si>
    <t>must be specified.)</t>
  </si>
  <si>
    <t>Wing:</t>
  </si>
  <si>
    <t>Horizontal tail:</t>
  </si>
  <si>
    <t>Vertical tail:</t>
  </si>
  <si>
    <t>Fuselage:</t>
  </si>
  <si>
    <t>Nacelles:</t>
  </si>
  <si>
    <t>Aspect ratio</t>
  </si>
  <si>
    <t>AR</t>
  </si>
  <si>
    <t>Tail volume coefficient</t>
  </si>
  <si>
    <t>VHBAR</t>
  </si>
  <si>
    <t>VVBAR</t>
  </si>
  <si>
    <t>Length [ft]</t>
  </si>
  <si>
    <t>LFUSE</t>
  </si>
  <si>
    <t>Number of nacelles:</t>
  </si>
  <si>
    <t>NNAC</t>
  </si>
  <si>
    <t>Taper ratio</t>
  </si>
  <si>
    <t>LAMBDA</t>
  </si>
  <si>
    <t xml:space="preserve"> (based on exposed area)</t>
  </si>
  <si>
    <t>Max height [ft]</t>
  </si>
  <si>
    <t>HFUSE</t>
  </si>
  <si>
    <t>Fnref/Nac X-s area [lb/ft²]</t>
  </si>
  <si>
    <t>TOANAC</t>
  </si>
  <si>
    <t>TOC</t>
  </si>
  <si>
    <t>ARHTAIL</t>
  </si>
  <si>
    <t>ARVTAIL</t>
  </si>
  <si>
    <t>Width @ wing root [ft]</t>
  </si>
  <si>
    <t>WFUSE</t>
  </si>
  <si>
    <t>(Fnref)^0.4/Nacelle length</t>
  </si>
  <si>
    <t>TOLNAC</t>
  </si>
  <si>
    <t>LESWEEP</t>
  </si>
  <si>
    <t>Root thickness/chord</t>
  </si>
  <si>
    <t>TOCROOTHT</t>
  </si>
  <si>
    <t>TOCROOTVT</t>
  </si>
  <si>
    <t>Length of nose [ft]</t>
  </si>
  <si>
    <t>LNOSE</t>
  </si>
  <si>
    <t>Pylon wet area [ft²]</t>
  </si>
  <si>
    <t>APYLON</t>
  </si>
  <si>
    <t>Airfoil max t/c loc. [/c]</t>
  </si>
  <si>
    <t>TOCLOC</t>
  </si>
  <si>
    <t>LAMBDAHT</t>
  </si>
  <si>
    <t>LAMTAIL</t>
  </si>
  <si>
    <t>Length of // section [ft]</t>
  </si>
  <si>
    <t>LPARA</t>
  </si>
  <si>
    <t xml:space="preserve"> (less pylon &amp; wing cutouts)</t>
  </si>
  <si>
    <t>Lift surface corr. factor</t>
  </si>
  <si>
    <t>RLS</t>
  </si>
  <si>
    <t>Fixed stabilizer? [Y or N]</t>
  </si>
  <si>
    <t>FIXSTAB</t>
  </si>
  <si>
    <t>Y</t>
  </si>
  <si>
    <t>Quarter chord sweep [°]</t>
  </si>
  <si>
    <t>TAILSWP</t>
  </si>
  <si>
    <t>=nt diam. of exhaust [ft]</t>
  </si>
  <si>
    <t>DEXHAUST</t>
  </si>
  <si>
    <t xml:space="preserve"> (Nicolai Fig. 11-8)</t>
  </si>
  <si>
    <t>Semichord sweep [°]</t>
  </si>
  <si>
    <t>LAMBDA2H</t>
  </si>
  <si>
    <t>Tail moment arm [ft]</t>
  </si>
  <si>
    <t>LVT</t>
  </si>
  <si>
    <t>Inlets on fuselage?[Y or N]</t>
  </si>
  <si>
    <t>INFUSE</t>
  </si>
  <si>
    <t>N</t>
  </si>
  <si>
    <t>Variable sweep? [Y or N]</t>
  </si>
  <si>
    <t>VARSWP</t>
  </si>
  <si>
    <t>LHT</t>
  </si>
  <si>
    <t>Horizontal tail height</t>
  </si>
  <si>
    <t>HTRATIO</t>
  </si>
  <si>
    <t>Pressurized fuse? [Y or N]</t>
  </si>
  <si>
    <t>PFUSE</t>
  </si>
  <si>
    <t xml:space="preserve"> (Ratio of horizontal tail location</t>
  </si>
  <si>
    <t>MLG on fuse? [Y or N]</t>
  </si>
  <si>
    <t>MLGFUSE</t>
  </si>
  <si>
    <t xml:space="preserve"> to vertical tail height)</t>
  </si>
  <si>
    <t>Cargo floor? [Y or N]</t>
  </si>
  <si>
    <t>CARGFUSE</t>
  </si>
  <si>
    <t>Derived values are valid for the baseline vehicle only.</t>
  </si>
  <si>
    <t>Derived values:</t>
  </si>
  <si>
    <t>Reference wing area [ft²]</t>
  </si>
  <si>
    <t>Sref</t>
  </si>
  <si>
    <t>Exposed tail area [ft²]</t>
  </si>
  <si>
    <t>SHT</t>
  </si>
  <si>
    <t>SVT</t>
  </si>
  <si>
    <t>=nt fuselage diameter [ft]</t>
  </si>
  <si>
    <t>DEQUIV</t>
  </si>
  <si>
    <t>Nacelle X-s area [ft²]</t>
  </si>
  <si>
    <t>AXSNAC</t>
  </si>
  <si>
    <t>Wing span [ft]</t>
  </si>
  <si>
    <t>SPAN</t>
  </si>
  <si>
    <t>Wetted area [ft²]</t>
  </si>
  <si>
    <t>SHTWET</t>
  </si>
  <si>
    <t>SVTWET</t>
  </si>
  <si>
    <t>Nose area parameter [ft]</t>
  </si>
  <si>
    <t>PNOSE</t>
  </si>
  <si>
    <t>Nacelle diameter [ft]</t>
  </si>
  <si>
    <t>DNAC</t>
  </si>
  <si>
    <t>Wing root chord [ft]</t>
  </si>
  <si>
    <t>CROOT</t>
  </si>
  <si>
    <t>Span [ft]</t>
  </si>
  <si>
    <t>BHT</t>
  </si>
  <si>
    <t>Height [ft]</t>
  </si>
  <si>
    <t>HVT</t>
  </si>
  <si>
    <t>Wet area of nose [ft²]</t>
  </si>
  <si>
    <t>ANOSE</t>
  </si>
  <si>
    <t>Nacelle length [ft]</t>
  </si>
  <si>
    <t>LNAC</t>
  </si>
  <si>
    <t>Wing tip chord [ft]</t>
  </si>
  <si>
    <t>CTIP</t>
  </si>
  <si>
    <t>Root chord [ft]</t>
  </si>
  <si>
    <t>CROOTHT</t>
  </si>
  <si>
    <t>CROOTVT</t>
  </si>
  <si>
    <t>Wet area of //section [ft²]</t>
  </si>
  <si>
    <t>APARA</t>
  </si>
  <si>
    <t>Nacelle wet area [ft²]</t>
  </si>
  <si>
    <t>NACWET</t>
  </si>
  <si>
    <t>Wing chord @SOB [ft]</t>
  </si>
  <si>
    <t>CSOB</t>
  </si>
  <si>
    <t>Root thickness [ft]</t>
  </si>
  <si>
    <t>TROOTHT</t>
  </si>
  <si>
    <t>TROOTVT</t>
  </si>
  <si>
    <t>Tail area parameter [ft]</t>
  </si>
  <si>
    <t>PTAIL</t>
  </si>
  <si>
    <t>Total wetted area [ft²]</t>
  </si>
  <si>
    <t>ANAC</t>
  </si>
  <si>
    <t>Wing thickness @SOB [ft]</t>
  </si>
  <si>
    <t>TSOB</t>
  </si>
  <si>
    <t>MAC horizontal tail [ft]</t>
  </si>
  <si>
    <t>MACHT</t>
  </si>
  <si>
    <t>MAC vertical tail [ft]</t>
  </si>
  <si>
    <t>MACVT</t>
  </si>
  <si>
    <t>Wet area of frustrum [ft²]</t>
  </si>
  <si>
    <t>ATAIL</t>
  </si>
  <si>
    <t xml:space="preserve"> (all nacelles and pylons)</t>
  </si>
  <si>
    <t>Ref wing area in fuse [ft²]</t>
  </si>
  <si>
    <t>Sfuse</t>
  </si>
  <si>
    <t>Wt. factor [RIII =n 5.19]</t>
  </si>
  <si>
    <t>KH</t>
  </si>
  <si>
    <t>Assumed rudder area [ft²]</t>
  </si>
  <si>
    <t>SR</t>
  </si>
  <si>
    <t>Wing cut-outs [ft²]</t>
  </si>
  <si>
    <t>AWINGSOB</t>
  </si>
  <si>
    <t>Wing wetted area [ft²]</t>
  </si>
  <si>
    <t>SWETWING</t>
  </si>
  <si>
    <t>Horiz. tail cut-outs [ft²]</t>
  </si>
  <si>
    <t>AHTSOB</t>
  </si>
  <si>
    <t>MAC [ft]</t>
  </si>
  <si>
    <t>MAC</t>
  </si>
  <si>
    <t>Kv (see RIII =n 5.21)</t>
  </si>
  <si>
    <t>KV</t>
  </si>
  <si>
    <t>Vert. tail cut-out [ft²]</t>
  </si>
  <si>
    <t>AVTSOB</t>
  </si>
  <si>
    <t>Semi-chord sweep [°]</t>
  </si>
  <si>
    <t>SWEEP2</t>
  </si>
  <si>
    <t>Net fuse. wetted area [ft²]</t>
  </si>
  <si>
    <t>AFUSE</t>
  </si>
  <si>
    <t>Wing form factor constant</t>
  </si>
  <si>
    <t>L</t>
  </si>
  <si>
    <t>Inlet structural constant</t>
  </si>
  <si>
    <t>KINL</t>
  </si>
  <si>
    <t xml:space="preserve"> (Nicolai =n 11-13)</t>
  </si>
  <si>
    <t>Kf1 (see RIII =n 5.27)</t>
  </si>
  <si>
    <t>KF1</t>
  </si>
  <si>
    <t>Var. sweep struct. factor</t>
  </si>
  <si>
    <t>KPIV</t>
  </si>
  <si>
    <t>Kf2</t>
  </si>
  <si>
    <t>KF2</t>
  </si>
  <si>
    <t xml:space="preserve"> (Nicolai =n 20-1)</t>
  </si>
  <si>
    <t>Kf3</t>
  </si>
  <si>
    <t>KF3</t>
  </si>
  <si>
    <t>AERODYNAMIC DATA</t>
  </si>
  <si>
    <t>ASSUMED VALUES:</t>
  </si>
  <si>
    <t>DERIVED VALUES:</t>
  </si>
  <si>
    <t>CDO</t>
  </si>
  <si>
    <t xml:space="preserve"> (assumed or calculated)</t>
  </si>
  <si>
    <t>CDOSUB</t>
  </si>
  <si>
    <t>Subsonic K</t>
  </si>
  <si>
    <t>KSUB</t>
  </si>
  <si>
    <t>Oswald efficiency factor</t>
  </si>
  <si>
    <t>E</t>
  </si>
  <si>
    <t>Supersonic K</t>
  </si>
  <si>
    <t>KSUP</t>
  </si>
  <si>
    <t>LODMAXSB</t>
  </si>
  <si>
    <t>CDOSUP</t>
  </si>
  <si>
    <t>LODSUBCR</t>
  </si>
  <si>
    <t>Supercruise Mach</t>
  </si>
  <si>
    <t>MSUPER</t>
  </si>
  <si>
    <t>LODMAXSP</t>
  </si>
  <si>
    <t>LODSUPCR</t>
  </si>
  <si>
    <t>Reynolds No./ft @cr.alt</t>
  </si>
  <si>
    <t>REPERFT</t>
  </si>
  <si>
    <t>Component</t>
  </si>
  <si>
    <t>Factor</t>
  </si>
  <si>
    <t>f</t>
  </si>
  <si>
    <t>Wing</t>
  </si>
  <si>
    <t>Horizontal Tail</t>
  </si>
  <si>
    <t>Vertical Tail</t>
  </si>
  <si>
    <t>Fuselage</t>
  </si>
  <si>
    <t>Nacelles</t>
  </si>
  <si>
    <t>Tanks</t>
  </si>
  <si>
    <t>Misc</t>
  </si>
  <si>
    <t>---------</t>
  </si>
  <si>
    <t>F</t>
  </si>
  <si>
    <t>CDOCALC</t>
  </si>
  <si>
    <t>Turn phase switch off if segment is omitted.</t>
  </si>
  <si>
    <t>Phase 1 - Takeoff:</t>
  </si>
  <si>
    <t>Phase 1 switch</t>
  </si>
  <si>
    <t>SWITCH1</t>
  </si>
  <si>
    <t>T.O. fuel burn [%TOGW]</t>
  </si>
  <si>
    <t>TOBURN</t>
  </si>
  <si>
    <t>Phase 2 - Climb &amp; Accel:</t>
  </si>
  <si>
    <t>Initial speed [ft/sec]</t>
  </si>
  <si>
    <t>VINIT</t>
  </si>
  <si>
    <t>Phase 2 switch</t>
  </si>
  <si>
    <t>SWITCH2</t>
  </si>
  <si>
    <t>Final speed [ft/sec]</t>
  </si>
  <si>
    <t>VFIN</t>
  </si>
  <si>
    <t>Initial Mach No.</t>
  </si>
  <si>
    <t>MINIT</t>
  </si>
  <si>
    <t>Average climb q [lb/sqft]</t>
  </si>
  <si>
    <t>QAVECL</t>
  </si>
  <si>
    <t>Initial alt [ft]</t>
  </si>
  <si>
    <t>HINIT</t>
  </si>
  <si>
    <t>Av. climb alt [ft]</t>
  </si>
  <si>
    <t>HAVECL</t>
  </si>
  <si>
    <t>Cruise Mach</t>
  </si>
  <si>
    <t>MFIN</t>
  </si>
  <si>
    <t>Average climb L/D</t>
  </si>
  <si>
    <t>LODCLIMB</t>
  </si>
  <si>
    <t>Cruise alt [ft]</t>
  </si>
  <si>
    <t>HFIN</t>
  </si>
  <si>
    <t>Average climb T/W</t>
  </si>
  <si>
    <t>TOWCLIMB</t>
  </si>
  <si>
    <t>Phase 3 - Subsonic Cruise:</t>
  </si>
  <si>
    <t>Delta spec. energy [ft]</t>
  </si>
  <si>
    <t>DELHECL</t>
  </si>
  <si>
    <t>Phase 3 switch</t>
  </si>
  <si>
    <t>SWITCH3</t>
  </si>
  <si>
    <t>Subsonic cr. dist [n.m.]</t>
  </si>
  <si>
    <t>SUBDIST</t>
  </si>
  <si>
    <t>Phase 4 - Loiter (for ASW):</t>
  </si>
  <si>
    <t>Phase 4 switch</t>
  </si>
  <si>
    <t>SWITCH4</t>
  </si>
  <si>
    <t>Loiter alt [ft]</t>
  </si>
  <si>
    <t>LOITALT</t>
  </si>
  <si>
    <t>Supercruise vel. [ft/sec]</t>
  </si>
  <si>
    <t>VSUPER</t>
  </si>
  <si>
    <t>Loiter Mach No.</t>
  </si>
  <si>
    <t>LOITMACH</t>
  </si>
  <si>
    <t>Average accn. L/D</t>
  </si>
  <si>
    <t>LODACCN</t>
  </si>
  <si>
    <t>Loiter endurance [hr]</t>
  </si>
  <si>
    <t>LOITEND</t>
  </si>
  <si>
    <t>Average accn. q [lb/sqft]</t>
  </si>
  <si>
    <t>QAVEACCN</t>
  </si>
  <si>
    <t>Phase 5 - Accel to Supercruise:</t>
  </si>
  <si>
    <t>Approx accn. W/S [lb/sqft]</t>
  </si>
  <si>
    <t>WOSACCN</t>
  </si>
  <si>
    <t>Phase 5 switch</t>
  </si>
  <si>
    <t>SWITCH5</t>
  </si>
  <si>
    <t>Average acc. alt. [ft]</t>
  </si>
  <si>
    <t>HAVEACCN</t>
  </si>
  <si>
    <t>Average accn. T/W</t>
  </si>
  <si>
    <t>TOWACCN</t>
  </si>
  <si>
    <t>Supercruise alt [ft]</t>
  </si>
  <si>
    <t>SUPALT</t>
  </si>
  <si>
    <t>DELHEACN</t>
  </si>
  <si>
    <t>Phase 6 - Supersonic Penetration:</t>
  </si>
  <si>
    <t>Phase 6 switch</t>
  </si>
  <si>
    <t>SWITCH6</t>
  </si>
  <si>
    <t>Combat W/S [lb/sqft]</t>
  </si>
  <si>
    <t>WOSCOMB</t>
  </si>
  <si>
    <t>Supercruise dist. [n.m.]</t>
  </si>
  <si>
    <t>SUPDIST</t>
  </si>
  <si>
    <t xml:space="preserve">Combat T/W </t>
  </si>
  <si>
    <t>TOWCOMB</t>
  </si>
  <si>
    <t>Phase 7 - Combat (final):</t>
  </si>
  <si>
    <t>Final combat vel. [ft/sec]</t>
  </si>
  <si>
    <t>VCOMBEND</t>
  </si>
  <si>
    <t>Phase 7 switch</t>
  </si>
  <si>
    <t>SWITCH7</t>
  </si>
  <si>
    <t>Av. combat q [lb/sqft]</t>
  </si>
  <si>
    <t>QCOMBAT</t>
  </si>
  <si>
    <t>Number of turns</t>
  </si>
  <si>
    <t>NTURNS</t>
  </si>
  <si>
    <t>Max g in combat</t>
  </si>
  <si>
    <t>NG</t>
  </si>
  <si>
    <t>Final combat Mach no.</t>
  </si>
  <si>
    <t>MEND</t>
  </si>
  <si>
    <t>Turn rate [°/sec]</t>
  </si>
  <si>
    <t>PSIDOT</t>
  </si>
  <si>
    <t>Final combat alt. [ft]</t>
  </si>
  <si>
    <t>HEND</t>
  </si>
  <si>
    <t>Turn endurance [sec]</t>
  </si>
  <si>
    <t>ETURNS</t>
  </si>
  <si>
    <t>Phase 8 - Drop weapons:</t>
  </si>
  <si>
    <t>Phase 8 switch</t>
  </si>
  <si>
    <t>SWITCH8</t>
  </si>
  <si>
    <t>VSUPER2</t>
  </si>
  <si>
    <t>Weight of weapons [lb]</t>
  </si>
  <si>
    <t>WEAPWEIT</t>
  </si>
  <si>
    <t>LODACN2</t>
  </si>
  <si>
    <t>Phase 9 - Climb &amp; Accel:</t>
  </si>
  <si>
    <t>QAVEACN2</t>
  </si>
  <si>
    <t>Phase 9 switch</t>
  </si>
  <si>
    <t>SWITCH9</t>
  </si>
  <si>
    <t>WOSACN2</t>
  </si>
  <si>
    <t>Final vel [Mach]</t>
  </si>
  <si>
    <t>MENDCLB</t>
  </si>
  <si>
    <t>HAVEACN2</t>
  </si>
  <si>
    <t>Final alt [ft]</t>
  </si>
  <si>
    <t>HENDCLB</t>
  </si>
  <si>
    <t>TOWACN2</t>
  </si>
  <si>
    <t>Phase 10 - Supercruise Return:</t>
  </si>
  <si>
    <t>DELHEAC2</t>
  </si>
  <si>
    <t>Phase 10 switch</t>
  </si>
  <si>
    <t>SWITCH10</t>
  </si>
  <si>
    <t>Phase 11 - Subsonic Cruise:</t>
  </si>
  <si>
    <t>Phase 11 switch</t>
  </si>
  <si>
    <t>SWITCH11</t>
  </si>
  <si>
    <t>HCRUISE</t>
  </si>
  <si>
    <t>MCRUISE</t>
  </si>
  <si>
    <t>Phase 12 - Descent:</t>
  </si>
  <si>
    <t>Phase 12 switch</t>
  </si>
  <si>
    <t>SWITCH12</t>
  </si>
  <si>
    <t>Fuel burn [%weight]</t>
  </si>
  <si>
    <t>FUELDESC</t>
  </si>
  <si>
    <t>Phase 13 - Land &amp; Taxi:</t>
  </si>
  <si>
    <t>Phase 13 switch</t>
  </si>
  <si>
    <t>SWITCH13</t>
  </si>
  <si>
    <t>FUELLAND</t>
  </si>
  <si>
    <t>Fuel reserves [% mission]</t>
  </si>
  <si>
    <t>FUELRES</t>
  </si>
  <si>
    <t>MISSION CALCULATIONS</t>
  </si>
  <si>
    <t>v</t>
  </si>
  <si>
    <t>Takeoff gross weight</t>
  </si>
  <si>
    <t>Mission fuel</t>
  </si>
  <si>
    <t>Fuel plus reserves</t>
  </si>
  <si>
    <t>Empty weight available [lb]</t>
  </si>
  <si>
    <t>WEITDIFF</t>
  </si>
  <si>
    <t>PERFORMANCE CONSTRAINTS</t>
  </si>
  <si>
    <t>Using Nicolai's methods (mostly)</t>
  </si>
  <si>
    <t>Takeoff:</t>
  </si>
  <si>
    <t>Takeoff distance to 50ft</t>
  </si>
  <si>
    <t>TODIST</t>
  </si>
  <si>
    <t>Runway altitude</t>
  </si>
  <si>
    <t>FIELDALT</t>
  </si>
  <si>
    <t>CLMAXTO</t>
  </si>
  <si>
    <t>Sigma @ takeoff</t>
  </si>
  <si>
    <t>SIGMATO</t>
  </si>
  <si>
    <t>DELCDOTO</t>
  </si>
  <si>
    <t>DELCDOGR</t>
  </si>
  <si>
    <t>Landing:</t>
  </si>
  <si>
    <t>CLMAXLD</t>
  </si>
  <si>
    <t>Landing wt/TOGW</t>
  </si>
  <si>
    <t>LANDWEIT</t>
  </si>
  <si>
    <t>DELCDOLD</t>
  </si>
  <si>
    <t>W/S @ landing</t>
  </si>
  <si>
    <t>WOSLAND</t>
  </si>
  <si>
    <t>(Nicolai =n 6-5)</t>
  </si>
  <si>
    <t>Combat:</t>
  </si>
  <si>
    <t>Load factor</t>
  </si>
  <si>
    <t>NGREQD</t>
  </si>
  <si>
    <t xml:space="preserve">(Note: this is the required value and may not be the </t>
  </si>
  <si>
    <t>SEP [ft/sec]</t>
  </si>
  <si>
    <t>SEP</t>
  </si>
  <si>
    <t>same as the derived value in the sizing routine)</t>
  </si>
  <si>
    <t>CLMAXCOM</t>
  </si>
  <si>
    <t>Thrust</t>
  </si>
  <si>
    <t>Weight</t>
  </si>
  <si>
    <t>Assumed</t>
  </si>
  <si>
    <t>Velocity</t>
  </si>
  <si>
    <t>Dynamic</t>
  </si>
  <si>
    <t>Mach</t>
  </si>
  <si>
    <t>Alt</t>
  </si>
  <si>
    <t>Load</t>
  </si>
  <si>
    <t>-</t>
  </si>
  <si>
    <t>CDo</t>
  </si>
  <si>
    <t>K</t>
  </si>
  <si>
    <t>Pressure</t>
  </si>
  <si>
    <t>Performance Requirements:</t>
  </si>
  <si>
    <t>[ft]</t>
  </si>
  <si>
    <t>[ft/sec]</t>
  </si>
  <si>
    <t>Refthrust</t>
  </si>
  <si>
    <t>Refweight</t>
  </si>
  <si>
    <t>[lb/ft²]</t>
  </si>
  <si>
    <t>Sustained load factor [g]</t>
  </si>
  <si>
    <t>MACH1</t>
  </si>
  <si>
    <t>ALT1</t>
  </si>
  <si>
    <t>SEP1</t>
  </si>
  <si>
    <t>TOTREF1</t>
  </si>
  <si>
    <t>WOWREF1</t>
  </si>
  <si>
    <t>CDO1</t>
  </si>
  <si>
    <t>KAY1</t>
  </si>
  <si>
    <t>Inst. turn rate [°/sec]</t>
  </si>
  <si>
    <t>MACH2</t>
  </si>
  <si>
    <t>ALT2</t>
  </si>
  <si>
    <t>SEP2</t>
  </si>
  <si>
    <t>TOTREF2</t>
  </si>
  <si>
    <t>WOWREF2</t>
  </si>
  <si>
    <t>CDO2</t>
  </si>
  <si>
    <t>KAY2</t>
  </si>
  <si>
    <t>SEP @1g [ft/sec]</t>
  </si>
  <si>
    <t>MACH3</t>
  </si>
  <si>
    <t>ALT3</t>
  </si>
  <si>
    <t>SEP3</t>
  </si>
  <si>
    <t>TOTREF3</t>
  </si>
  <si>
    <t>WOWREF3</t>
  </si>
  <si>
    <t>CDO3</t>
  </si>
  <si>
    <t>KAY3</t>
  </si>
  <si>
    <t>SEP @5g [ft/sec]</t>
  </si>
  <si>
    <t>MACH4</t>
  </si>
  <si>
    <t>ALT4</t>
  </si>
  <si>
    <t>SEP4</t>
  </si>
  <si>
    <t>TORREF4</t>
  </si>
  <si>
    <t>WOWREF4</t>
  </si>
  <si>
    <t>CDO4</t>
  </si>
  <si>
    <t>KAY4</t>
  </si>
  <si>
    <t>Cruise Mach req'm't</t>
  </si>
  <si>
    <t>MACH5</t>
  </si>
  <si>
    <t>ALT5</t>
  </si>
  <si>
    <t>SEP5</t>
  </si>
  <si>
    <t>TOTREF5</t>
  </si>
  <si>
    <t>WOWREF5</t>
  </si>
  <si>
    <t>CDO5</t>
  </si>
  <si>
    <t>KAY5</t>
  </si>
  <si>
    <t>Eng. out</t>
  </si>
  <si>
    <t>FAR Part 25 climb req'ts</t>
  </si>
  <si>
    <t>factor</t>
  </si>
  <si>
    <t>e</t>
  </si>
  <si>
    <t>CL</t>
  </si>
  <si>
    <t>CD</t>
  </si>
  <si>
    <t>L/D</t>
  </si>
  <si>
    <t>CGR[%]</t>
  </si>
  <si>
    <t>T/W req'd</t>
  </si>
  <si>
    <t>FAR 25.121 (at Vlof)</t>
  </si>
  <si>
    <t>FAR 25.121(c) (init climb)</t>
  </si>
  <si>
    <t>FAR 25.111(c) (2nd s climb)</t>
  </si>
  <si>
    <t>FAR 25.121(c) (Enrte climb)</t>
  </si>
  <si>
    <t>FAR 25.119 (baulk ldg)</t>
  </si>
  <si>
    <t>FAR 25.121(d) (baulk ldg)</t>
  </si>
  <si>
    <t>T/W for FAR climb</t>
  </si>
  <si>
    <t>TOWFAR</t>
  </si>
  <si>
    <t>First</t>
  </si>
  <si>
    <t>guess</t>
  </si>
  <si>
    <t>Increments in wing loading</t>
  </si>
  <si>
    <t>WOSDIFF</t>
  </si>
  <si>
    <t>Landing</t>
  </si>
  <si>
    <t>Wing Loading [lb/ft²]</t>
  </si>
  <si>
    <t>Landing W/S pointer</t>
  </si>
  <si>
    <t>Takeoff constant in Nicolai =n 6-3</t>
  </si>
  <si>
    <t>Takeoff (Nicolai =n 6-3)</t>
  </si>
  <si>
    <t>Landing (for FAR graph)</t>
  </si>
  <si>
    <t>Takeoff (Roskam I, =n 3.8)</t>
  </si>
  <si>
    <t>FAR Part 25 climb</t>
  </si>
  <si>
    <t>This finds the highest T/W for all constraint lines at a given W/S</t>
  </si>
  <si>
    <t>Max value</t>
  </si>
  <si>
    <t>POINTER2</t>
  </si>
  <si>
    <t>This finds the minimum permissible T/W and corresponding W/S</t>
  </si>
  <si>
    <t>TOGW required</t>
  </si>
  <si>
    <t>T/W required</t>
  </si>
  <si>
    <t>TOWREQD</t>
  </si>
  <si>
    <t>W/S required</t>
  </si>
  <si>
    <t>WOSREQD</t>
  </si>
  <si>
    <t>Graph labels:</t>
  </si>
  <si>
    <t>ATMOSPHERIC CONDITIONS</t>
  </si>
  <si>
    <t>Sp. heat ratio (gamma)</t>
  </si>
  <si>
    <t>GAMMA</t>
  </si>
  <si>
    <t>G</t>
  </si>
  <si>
    <t xml:space="preserve">Gas constant </t>
  </si>
  <si>
    <t>R</t>
  </si>
  <si>
    <t>Lapse rate [°F/ft]</t>
  </si>
  <si>
    <t>LAPSE</t>
  </si>
  <si>
    <t>Standard day temp @ SL [°F]</t>
  </si>
  <si>
    <t>T0</t>
  </si>
  <si>
    <t>Standard day density @ SL [slugs/cu.ft]</t>
  </si>
  <si>
    <t>RO0</t>
  </si>
  <si>
    <t>Delta temperature @ SL [ISA+°F]</t>
  </si>
  <si>
    <t>DELTAT</t>
  </si>
  <si>
    <t>Pressure @ SL [psi]</t>
  </si>
  <si>
    <t>PSL</t>
  </si>
  <si>
    <t>Density @ SL [slugs/cu.ft]</t>
  </si>
  <si>
    <t>ROSL</t>
  </si>
  <si>
    <t xml:space="preserve">Relative </t>
  </si>
  <si>
    <t>Absolute</t>
  </si>
  <si>
    <t>Temp</t>
  </si>
  <si>
    <t>Sp.sound</t>
  </si>
  <si>
    <t>Density</t>
  </si>
  <si>
    <t>Viscosity</t>
  </si>
  <si>
    <t>[°F]</t>
  </si>
  <si>
    <t>[psi]</t>
  </si>
  <si>
    <t>[sl/cuft]</t>
  </si>
  <si>
    <t>[sigma]</t>
  </si>
  <si>
    <t>[sl/ft/s]</t>
  </si>
  <si>
    <t xml:space="preserve">Average values </t>
  </si>
  <si>
    <t>EMPTY WEIGHT BUILDUP:</t>
  </si>
  <si>
    <t>However, if you know the aircraft geometry, set coeffs. A and B to zero,</t>
  </si>
  <si>
    <t>and let the component weight equations calculate We.</t>
  </si>
  <si>
    <t>Coefficients in empty weight =n in the form A*(TOGW)^B:</t>
  </si>
  <si>
    <t>First term, A</t>
  </si>
  <si>
    <t>A</t>
  </si>
  <si>
    <t>Standard:</t>
  </si>
  <si>
    <t>Second term, B</t>
  </si>
  <si>
    <t>B</t>
  </si>
  <si>
    <t>Wing [%]</t>
  </si>
  <si>
    <t>RFWING</t>
  </si>
  <si>
    <t>Horizontal tail [%]</t>
  </si>
  <si>
    <t>RFHORZT</t>
  </si>
  <si>
    <t>Vertical tail [%]</t>
  </si>
  <si>
    <t>RFVERTT</t>
  </si>
  <si>
    <t>Fuselage [%]</t>
  </si>
  <si>
    <t>RFFUSE</t>
  </si>
  <si>
    <t>Nacelles [%]</t>
  </si>
  <si>
    <t>RFNAC</t>
  </si>
  <si>
    <t>Landing gear [%]</t>
  </si>
  <si>
    <t>RFGEAR</t>
  </si>
  <si>
    <t>Performance-related variables:</t>
  </si>
  <si>
    <t>Max cruise speed [KEAS]</t>
  </si>
  <si>
    <t>KEASMAXC</t>
  </si>
  <si>
    <t>Max design speed [KEAS]</t>
  </si>
  <si>
    <t>KEASMAXD</t>
  </si>
  <si>
    <t>Powerplant-related variables:</t>
  </si>
  <si>
    <t>TJ or LBR TF? [Y or N]</t>
  </si>
  <si>
    <t>ENGTYPE</t>
  </si>
  <si>
    <t>Afterburner? [Y or N]</t>
  </si>
  <si>
    <t>BURNER</t>
  </si>
  <si>
    <t>Buried engine(s)? [Y or N]</t>
  </si>
  <si>
    <t>BURIED</t>
  </si>
  <si>
    <t>Inlet duct length [ft]</t>
  </si>
  <si>
    <t>LDUCT</t>
  </si>
  <si>
    <t>Thrust/Capt Area [lb/ft²]</t>
  </si>
  <si>
    <t>TOACAPT</t>
  </si>
  <si>
    <t>Curved duct X-sec? [Y/N]</t>
  </si>
  <si>
    <t>CURVE</t>
  </si>
  <si>
    <t>No. of buried inlets</t>
  </si>
  <si>
    <t>NINL</t>
  </si>
  <si>
    <t>Bladder tanks? [Y or N]</t>
  </si>
  <si>
    <t>BLADDER</t>
  </si>
  <si>
    <t>Fuel density [lb/gal]</t>
  </si>
  <si>
    <t>KFSP</t>
  </si>
  <si>
    <t>Numbering system from Roskam Part V</t>
  </si>
  <si>
    <t>Max zero fuel weight [lb]</t>
  </si>
  <si>
    <t>Max wing root thickness [ft]</t>
  </si>
  <si>
    <t>Ref wing area [ft²]</t>
  </si>
  <si>
    <t>MAC [ft²]</t>
  </si>
  <si>
    <t>Horizontal tail area [ft²]</t>
  </si>
  <si>
    <t>Vertical tail area [ft²]</t>
  </si>
  <si>
    <t>Horizontal tail span [ft]</t>
  </si>
  <si>
    <t>Horizontal tail root thickness [ft]</t>
  </si>
  <si>
    <t>Effective Span [ft]</t>
  </si>
  <si>
    <t>Structures: using Torenbeek method for transport aircraft</t>
  </si>
  <si>
    <t>Systems: using Torenbeek method</t>
  </si>
  <si>
    <t>5. Structure:</t>
  </si>
  <si>
    <t xml:space="preserve"> 5.1 Wing </t>
  </si>
  <si>
    <t xml:space="preserve"> 5.2 Horizontal Tail</t>
  </si>
  <si>
    <t xml:space="preserve"> 5.2 Vertical Tail</t>
  </si>
  <si>
    <t xml:space="preserve"> 5.3 Fuselage</t>
  </si>
  <si>
    <t xml:space="preserve"> 5.4 Nacelles</t>
  </si>
  <si>
    <t xml:space="preserve"> 5.5 Landing gear</t>
  </si>
  <si>
    <t>6. Propulsion:</t>
  </si>
  <si>
    <t xml:space="preserve"> 6.1 Engine:</t>
  </si>
  <si>
    <t xml:space="preserve"> 6.2 Air induction</t>
  </si>
  <si>
    <t xml:space="preserve"> 6.3 Propeller</t>
  </si>
  <si>
    <t xml:space="preserve"> 6.4 Fuel system</t>
  </si>
  <si>
    <t xml:space="preserve"> 6.5 Propulsion accessories</t>
  </si>
  <si>
    <t>7. Fixed equipment</t>
  </si>
  <si>
    <t xml:space="preserve"> 7.1 Flight controls</t>
  </si>
  <si>
    <t xml:space="preserve"> 7.2 Hydraulics/pneumatics</t>
  </si>
  <si>
    <t xml:space="preserve"> 7.3 Electrical</t>
  </si>
  <si>
    <t xml:space="preserve"> 7.4 Instrumentation</t>
  </si>
  <si>
    <t xml:space="preserve"> 7.5 ECS and anti-ice</t>
  </si>
  <si>
    <t xml:space="preserve"> 7.6 Oxygen</t>
  </si>
  <si>
    <t xml:space="preserve"> 7.7 APU</t>
  </si>
  <si>
    <t xml:space="preserve"> 7.8 Furnishings</t>
  </si>
  <si>
    <t xml:space="preserve"> 7.9 Baggage &amp; cargo</t>
  </si>
  <si>
    <t xml:space="preserve"> 7.10 Operational items</t>
  </si>
  <si>
    <t xml:space="preserve"> 7.11 Armament</t>
  </si>
  <si>
    <t xml:space="preserve"> 7.12 Weapons</t>
  </si>
  <si>
    <t xml:space="preserve"> 7.13 Flight test instrumentation</t>
  </si>
  <si>
    <t xml:space="preserve"> 7.14 Auxiliary gear</t>
  </si>
  <si>
    <t xml:space="preserve"> 7.15 Ballast</t>
  </si>
  <si>
    <t xml:space="preserve"> 7.16 Paint</t>
  </si>
  <si>
    <t xml:space="preserve">  </t>
  </si>
  <si>
    <t>Empty weight req'd buildup (Torenbeek)[lb]</t>
  </si>
  <si>
    <t>OEW (Torenbeek) [lb]</t>
  </si>
  <si>
    <t>Structures (except nacelles): using the GD method in Nicolai (for fighter aircraft)</t>
  </si>
  <si>
    <t>Systems (plus nacelles): using Torenbeek method</t>
  </si>
  <si>
    <t>Empty weight req'd buildup (GD)[lb]</t>
  </si>
  <si>
    <t>OEW (GD) [lb]</t>
  </si>
  <si>
    <t>Baseline</t>
  </si>
  <si>
    <t xml:space="preserve">    Empty weight fraction [We/Wo]</t>
  </si>
  <si>
    <t xml:space="preserve">    Crew + expendables [Wpay/Wo]</t>
  </si>
  <si>
    <t xml:space="preserve">    (We+Wpay)/Wo</t>
  </si>
  <si>
    <t xml:space="preserve">    Fuel frac. available </t>
  </si>
  <si>
    <t xml:space="preserve">    1-(Fuel frac req'd)</t>
  </si>
  <si>
    <t>For point design (initial values) only</t>
  </si>
  <si>
    <t>Assumed values:</t>
  </si>
  <si>
    <t>LEMAC - wing CG [in]</t>
  </si>
  <si>
    <t>LEMACWCG</t>
  </si>
  <si>
    <t>MAC [in]</t>
  </si>
  <si>
    <t>MACIN</t>
  </si>
  <si>
    <t>Location of LEMAC [in]</t>
  </si>
  <si>
    <t>LEMAC</t>
  </si>
  <si>
    <t>Location of TEMAC [in]</t>
  </si>
  <si>
    <t>TEMAC</t>
  </si>
  <si>
    <t>x</t>
  </si>
  <si>
    <t>Wx</t>
  </si>
  <si>
    <t>y</t>
  </si>
  <si>
    <t>Wy</t>
  </si>
  <si>
    <t>x-LEMAC</t>
  </si>
  <si>
    <t>x/cbar</t>
  </si>
  <si>
    <t>[lb]</t>
  </si>
  <si>
    <t>[in]</t>
  </si>
  <si>
    <t>[lb in]</t>
  </si>
  <si>
    <t>Fuselage group</t>
  </si>
  <si>
    <t>Wing group</t>
  </si>
  <si>
    <t>Empennage group</t>
  </si>
  <si>
    <t>Engine group</t>
  </si>
  <si>
    <t>Landing gear group</t>
  </si>
  <si>
    <t>Fixed equipment group</t>
  </si>
  <si>
    <t>Trapped fuel &amp; oil</t>
  </si>
  <si>
    <t>Crew</t>
  </si>
  <si>
    <t>Fuel</t>
  </si>
  <si>
    <t>Passengers</t>
  </si>
  <si>
    <t>Baggage</t>
  </si>
  <si>
    <t>Cargo</t>
  </si>
  <si>
    <t>Military load</t>
  </si>
  <si>
    <t>Weight Empty</t>
  </si>
  <si>
    <t>Operating Weight Empty</t>
  </si>
  <si>
    <t>Zero Fuel Weight</t>
  </si>
  <si>
    <t>Takeoff Gross Weight</t>
  </si>
  <si>
    <t>Zero Payload Weight</t>
  </si>
  <si>
    <t>PROPULSION DATA: (Provisional)</t>
  </si>
  <si>
    <t>The following inputs apply to turbojet or turbofan engines only.</t>
  </si>
  <si>
    <t>Number of engines</t>
  </si>
  <si>
    <t>Max cont/TO ref thrust</t>
  </si>
  <si>
    <t>TRATIO</t>
  </si>
  <si>
    <t>LO thrust/TO ref thrust</t>
  </si>
  <si>
    <t>LORATIO</t>
  </si>
  <si>
    <t>Combat thrust/TO ref thrust</t>
  </si>
  <si>
    <t>COMRATIO</t>
  </si>
  <si>
    <t>Lapse rate [%/1000ft]</t>
  </si>
  <si>
    <t>TLAPSE</t>
  </si>
  <si>
    <t>Climb sfc [lb/lb/hr]</t>
  </si>
  <si>
    <t>SFCCL</t>
  </si>
  <si>
    <t>Cruise sfc [lb/lb/hr]</t>
  </si>
  <si>
    <t>SFCCR</t>
  </si>
  <si>
    <t>Loiter sfc [lb/lb/hr]</t>
  </si>
  <si>
    <t>SFCLO</t>
  </si>
  <si>
    <t>Supcruise sfc [lb/lb/hr]</t>
  </si>
  <si>
    <t>SFCSUPER</t>
  </si>
  <si>
    <t>Combat sfc [lb/lb/hr]</t>
  </si>
  <si>
    <t>SFCCOMB</t>
  </si>
  <si>
    <t>Takeoff sfc [lb/lb/hr]</t>
  </si>
  <si>
    <t>SFCTO</t>
  </si>
  <si>
    <t>Ref thrust/engine</t>
  </si>
  <si>
    <t>FNREF</t>
  </si>
  <si>
    <t xml:space="preserve">Lift coefficient </t>
  </si>
  <si>
    <t>Drag coeff (subsonic)</t>
  </si>
  <si>
    <t>Drag coeff (supersonic)</t>
  </si>
  <si>
    <t>Drag coefficient</t>
  </si>
  <si>
    <t>Lift coefficient (subsonic)</t>
  </si>
  <si>
    <t>Lift coefficient (supersonic)</t>
  </si>
  <si>
    <t>Subsonic</t>
  </si>
  <si>
    <t>Supersonic</t>
  </si>
  <si>
    <r>
      <t xml:space="preserve">Aircraft definition in </t>
    </r>
    <r>
      <rPr>
        <sz val="10"/>
        <color rgb="FFFF0000"/>
        <rFont val="Calibri"/>
        <family val="2"/>
        <scheme val="minor"/>
      </rPr>
      <t>red</t>
    </r>
  </si>
  <si>
    <r>
      <t>in which case, set assumed value of C</t>
    </r>
    <r>
      <rPr>
        <vertAlign val="subscript"/>
        <sz val="10"/>
        <rFont val="Calibri"/>
        <family val="2"/>
        <scheme val="minor"/>
      </rPr>
      <t>Do</t>
    </r>
    <r>
      <rPr>
        <sz val="10"/>
        <rFont val="Calibri"/>
        <family val="2"/>
        <scheme val="minor"/>
      </rPr>
      <t xml:space="preserve"> to zero.</t>
    </r>
  </si>
  <si>
    <r>
      <t>in which case C</t>
    </r>
    <r>
      <rPr>
        <vertAlign val="subscript"/>
        <sz val="10"/>
        <rFont val="Calibri"/>
        <family val="2"/>
        <scheme val="minor"/>
      </rPr>
      <t>Do</t>
    </r>
    <r>
      <rPr>
        <sz val="10"/>
        <rFont val="Calibri"/>
        <family val="2"/>
        <scheme val="minor"/>
      </rPr>
      <t xml:space="preserve"> and the empty weight correlation coefficients, A and B,</t>
    </r>
  </si>
  <si>
    <t>We(reqd) - We(avail)</t>
  </si>
  <si>
    <t>Aerodynamics</t>
  </si>
  <si>
    <t>Mission</t>
  </si>
  <si>
    <t>Performance</t>
  </si>
  <si>
    <t>Wt &amp; Balance</t>
  </si>
  <si>
    <t>Atmosphere</t>
  </si>
  <si>
    <t>Propulsion</t>
  </si>
  <si>
    <r>
      <t>C</t>
    </r>
    <r>
      <rPr>
        <vertAlign val="subscript"/>
        <sz val="10"/>
        <rFont val="Calibri"/>
        <family val="2"/>
        <scheme val="minor"/>
      </rPr>
      <t>Do</t>
    </r>
  </si>
  <si>
    <t>Form Factor</t>
  </si>
  <si>
    <r>
      <t>C</t>
    </r>
    <r>
      <rPr>
        <vertAlign val="subscript"/>
        <sz val="10"/>
        <rFont val="Calibri"/>
        <family val="2"/>
        <scheme val="minor"/>
      </rPr>
      <t>Dw</t>
    </r>
  </si>
  <si>
    <r>
      <t>R</t>
    </r>
    <r>
      <rPr>
        <vertAlign val="subscript"/>
        <sz val="10"/>
        <rFont val="Calibri"/>
        <family val="2"/>
        <scheme val="minor"/>
      </rPr>
      <t>e</t>
    </r>
  </si>
  <si>
    <r>
      <t>C</t>
    </r>
    <r>
      <rPr>
        <vertAlign val="subscript"/>
        <sz val="10"/>
        <rFont val="Calibri"/>
        <family val="2"/>
        <scheme val="minor"/>
      </rPr>
      <t>F</t>
    </r>
  </si>
  <si>
    <r>
      <t>S</t>
    </r>
    <r>
      <rPr>
        <vertAlign val="subscript"/>
        <sz val="10"/>
        <rFont val="Calibri"/>
        <family val="2"/>
        <scheme val="minor"/>
      </rPr>
      <t>wet</t>
    </r>
  </si>
  <si>
    <t>Reference Length [ft]</t>
  </si>
  <si>
    <r>
      <t>Subsonic (L/D)</t>
    </r>
    <r>
      <rPr>
        <vertAlign val="subscript"/>
        <sz val="10"/>
        <rFont val="Calibri"/>
        <family val="2"/>
        <scheme val="minor"/>
      </rPr>
      <t>max</t>
    </r>
  </si>
  <si>
    <r>
      <t>Subsonic (L/D)</t>
    </r>
    <r>
      <rPr>
        <vertAlign val="subscript"/>
        <sz val="10"/>
        <rFont val="Calibri"/>
        <family val="2"/>
        <scheme val="minor"/>
      </rPr>
      <t>cruise</t>
    </r>
  </si>
  <si>
    <r>
      <t>Supersonic (L/D)</t>
    </r>
    <r>
      <rPr>
        <vertAlign val="subscript"/>
        <sz val="10"/>
        <rFont val="Calibri"/>
        <family val="2"/>
        <scheme val="minor"/>
      </rPr>
      <t>max</t>
    </r>
  </si>
  <si>
    <r>
      <t>Supersonic (L/D)</t>
    </r>
    <r>
      <rPr>
        <vertAlign val="subscript"/>
        <sz val="10"/>
        <rFont val="Calibri"/>
        <family val="2"/>
        <scheme val="minor"/>
      </rPr>
      <t>cruise</t>
    </r>
  </si>
  <si>
    <r>
      <t>Subsonic C</t>
    </r>
    <r>
      <rPr>
        <vertAlign val="subscript"/>
        <sz val="10"/>
        <rFont val="Calibri"/>
        <family val="2"/>
        <scheme val="minor"/>
      </rPr>
      <t>Do</t>
    </r>
  </si>
  <si>
    <r>
      <t>If geometry is defined, C</t>
    </r>
    <r>
      <rPr>
        <vertAlign val="subscript"/>
        <sz val="10"/>
        <rFont val="Calibri"/>
        <family val="2"/>
        <scheme val="minor"/>
      </rPr>
      <t>Do</t>
    </r>
    <r>
      <rPr>
        <sz val="10"/>
        <rFont val="Calibri"/>
        <family val="2"/>
        <scheme val="minor"/>
      </rPr>
      <t xml:space="preserve"> will be calculated;</t>
    </r>
  </si>
  <si>
    <t>Modules</t>
  </si>
  <si>
    <t>MISSION PROFILE</t>
  </si>
  <si>
    <t>Assumed Wing loading [lb/sq.ft]</t>
  </si>
  <si>
    <t>Average t/c</t>
  </si>
  <si>
    <r>
      <t>Taper ratio (</t>
    </r>
    <r>
      <rPr>
        <sz val="10"/>
        <rFont val="Calibri"/>
        <family val="2"/>
      </rPr>
      <t>λ)</t>
    </r>
  </si>
  <si>
    <r>
      <t>Leading edge sweep (</t>
    </r>
    <r>
      <rPr>
        <sz val="10"/>
        <rFont val="Calibri"/>
        <family val="2"/>
      </rPr>
      <t>Λ</t>
    </r>
    <r>
      <rPr>
        <vertAlign val="subscript"/>
        <sz val="10"/>
        <rFont val="Calibri"/>
        <family val="2"/>
      </rPr>
      <t>le</t>
    </r>
    <r>
      <rPr>
        <sz val="10"/>
        <rFont val="Calibri"/>
        <family val="2"/>
      </rPr>
      <t xml:space="preserve">) </t>
    </r>
    <r>
      <rPr>
        <sz val="10"/>
        <rFont val="Calibri"/>
        <family val="2"/>
        <scheme val="minor"/>
      </rPr>
      <t>[°]</t>
    </r>
  </si>
  <si>
    <r>
      <t>Assumed (T/W)</t>
    </r>
    <r>
      <rPr>
        <vertAlign val="subscript"/>
        <sz val="10"/>
        <rFont val="Calibri"/>
        <family val="2"/>
        <scheme val="minor"/>
      </rPr>
      <t>ref</t>
    </r>
    <r>
      <rPr>
        <sz val="10"/>
        <rFont val="Calibri"/>
        <family val="2"/>
        <scheme val="minor"/>
      </rPr>
      <t xml:space="preserve"> </t>
    </r>
  </si>
  <si>
    <t>GD.OEW</t>
  </si>
  <si>
    <t>TOR.OEW</t>
  </si>
  <si>
    <t>Note: Select either Torenbeek or GD method in cell WEITDIFF</t>
  </si>
  <si>
    <t>SPANEFF</t>
  </si>
  <si>
    <r>
      <t>C</t>
    </r>
    <r>
      <rPr>
        <vertAlign val="subscript"/>
        <sz val="10"/>
        <rFont val="Calibri"/>
        <family val="2"/>
        <scheme val="minor"/>
      </rPr>
      <t>Do</t>
    </r>
    <r>
      <rPr>
        <sz val="10"/>
        <rFont val="Calibri"/>
        <family val="2"/>
        <scheme val="minor"/>
      </rPr>
      <t xml:space="preserve"> is assumed to be independent of vehicle size.</t>
    </r>
  </si>
  <si>
    <t>Weight reduction factors for composites (non-functioning at present):</t>
  </si>
  <si>
    <r>
      <t>C</t>
    </r>
    <r>
      <rPr>
        <vertAlign val="subscript"/>
        <sz val="10"/>
        <rFont val="Calibri"/>
        <family val="2"/>
        <scheme val="minor"/>
      </rPr>
      <t>L</t>
    </r>
  </si>
  <si>
    <r>
      <t>C</t>
    </r>
    <r>
      <rPr>
        <vertAlign val="subscript"/>
        <sz val="10"/>
        <rFont val="Calibri"/>
        <family val="2"/>
        <scheme val="minor"/>
      </rPr>
      <t>D</t>
    </r>
  </si>
  <si>
    <r>
      <t>T/T</t>
    </r>
    <r>
      <rPr>
        <vertAlign val="subscript"/>
        <sz val="10"/>
        <rFont val="Calibri"/>
        <family val="2"/>
        <scheme val="minor"/>
      </rPr>
      <t>ref</t>
    </r>
  </si>
  <si>
    <r>
      <t>W/W</t>
    </r>
    <r>
      <rPr>
        <vertAlign val="subscript"/>
        <sz val="10"/>
        <rFont val="Calibri"/>
        <family val="2"/>
        <scheme val="minor"/>
      </rPr>
      <t>ref</t>
    </r>
  </si>
  <si>
    <r>
      <t>(T/W)</t>
    </r>
    <r>
      <rPr>
        <vertAlign val="subscript"/>
        <sz val="10"/>
        <rFont val="Calibri"/>
        <family val="2"/>
        <scheme val="minor"/>
      </rPr>
      <t>ref</t>
    </r>
  </si>
  <si>
    <r>
      <t>C</t>
    </r>
    <r>
      <rPr>
        <vertAlign val="subscript"/>
        <sz val="10"/>
        <rFont val="Calibri"/>
        <family val="2"/>
        <scheme val="minor"/>
      </rPr>
      <t>Lmax</t>
    </r>
    <r>
      <rPr>
        <sz val="10"/>
        <rFont val="Calibri"/>
        <family val="2"/>
        <scheme val="minor"/>
      </rPr>
      <t xml:space="preserve"> (takeoff)</t>
    </r>
  </si>
  <si>
    <r>
      <t>C</t>
    </r>
    <r>
      <rPr>
        <vertAlign val="subscript"/>
        <sz val="10"/>
        <rFont val="Calibri"/>
        <family val="2"/>
        <scheme val="minor"/>
      </rPr>
      <t>Lmax</t>
    </r>
    <r>
      <rPr>
        <sz val="10"/>
        <rFont val="Calibri"/>
        <family val="2"/>
        <scheme val="minor"/>
      </rPr>
      <t xml:space="preserve"> (landing)</t>
    </r>
  </si>
  <si>
    <r>
      <rPr>
        <sz val="10"/>
        <rFont val="Calibri"/>
        <family val="2"/>
      </rPr>
      <t>Δ</t>
    </r>
    <r>
      <rPr>
        <sz val="10"/>
        <rFont val="Calibri"/>
        <family val="2"/>
        <scheme val="minor"/>
      </rPr>
      <t>C</t>
    </r>
    <r>
      <rPr>
        <vertAlign val="subscript"/>
        <sz val="10"/>
        <rFont val="Calibri"/>
        <family val="2"/>
        <scheme val="minor"/>
      </rPr>
      <t>Do</t>
    </r>
    <r>
      <rPr>
        <sz val="10"/>
        <rFont val="Calibri"/>
        <family val="2"/>
        <scheme val="minor"/>
      </rPr>
      <t xml:space="preserve"> (landing flap)</t>
    </r>
  </si>
  <si>
    <r>
      <rPr>
        <sz val="10"/>
        <rFont val="Calibri"/>
        <family val="2"/>
      </rPr>
      <t>Δ</t>
    </r>
    <r>
      <rPr>
        <sz val="10"/>
        <rFont val="Calibri"/>
        <family val="2"/>
        <scheme val="minor"/>
      </rPr>
      <t>C</t>
    </r>
    <r>
      <rPr>
        <vertAlign val="subscript"/>
        <sz val="10"/>
        <rFont val="Calibri"/>
        <family val="2"/>
        <scheme val="minor"/>
      </rPr>
      <t>Do</t>
    </r>
    <r>
      <rPr>
        <sz val="10"/>
        <rFont val="Calibri"/>
        <family val="2"/>
        <scheme val="minor"/>
      </rPr>
      <t xml:space="preserve"> (takeoff flap)</t>
    </r>
  </si>
  <si>
    <r>
      <rPr>
        <sz val="10"/>
        <rFont val="Calibri"/>
        <family val="2"/>
      </rPr>
      <t>Δ</t>
    </r>
    <r>
      <rPr>
        <sz val="10"/>
        <rFont val="Calibri"/>
        <family val="2"/>
        <scheme val="minor"/>
      </rPr>
      <t>C</t>
    </r>
    <r>
      <rPr>
        <vertAlign val="subscript"/>
        <sz val="10"/>
        <rFont val="Calibri"/>
        <family val="2"/>
        <scheme val="minor"/>
      </rPr>
      <t>Do</t>
    </r>
    <r>
      <rPr>
        <sz val="10"/>
        <rFont val="Calibri"/>
        <family val="2"/>
        <scheme val="minor"/>
      </rPr>
      <t xml:space="preserve"> (landing gear)</t>
    </r>
  </si>
  <si>
    <r>
      <t>C</t>
    </r>
    <r>
      <rPr>
        <vertAlign val="subscript"/>
        <sz val="10"/>
        <rFont val="Calibri"/>
        <family val="2"/>
        <scheme val="minor"/>
      </rPr>
      <t>Lmax</t>
    </r>
    <r>
      <rPr>
        <sz val="10"/>
        <rFont val="Calibri"/>
        <family val="2"/>
        <scheme val="minor"/>
      </rPr>
      <t xml:space="preserve"> combat</t>
    </r>
  </si>
  <si>
    <r>
      <t>C</t>
    </r>
    <r>
      <rPr>
        <vertAlign val="subscript"/>
        <sz val="10"/>
        <rFont val="Calibri"/>
        <family val="2"/>
        <scheme val="minor"/>
      </rPr>
      <t>Do</t>
    </r>
    <r>
      <rPr>
        <sz val="10"/>
        <rFont val="Calibri"/>
        <family val="2"/>
        <scheme val="minor"/>
      </rPr>
      <t xml:space="preserve"> assumed (subsonic)</t>
    </r>
  </si>
  <si>
    <r>
      <t>C</t>
    </r>
    <r>
      <rPr>
        <vertAlign val="subscript"/>
        <sz val="10"/>
        <rFont val="Calibri"/>
        <family val="2"/>
        <scheme val="minor"/>
      </rPr>
      <t>Do</t>
    </r>
    <r>
      <rPr>
        <sz val="10"/>
        <rFont val="Calibri"/>
        <family val="2"/>
        <scheme val="minor"/>
      </rPr>
      <t xml:space="preserve"> assumed (supsonic)</t>
    </r>
  </si>
  <si>
    <t>Interfer-ence Factor</t>
  </si>
  <si>
    <t>_VEE5</t>
  </si>
  <si>
    <t>_VEE4</t>
  </si>
  <si>
    <t>_VEE3</t>
  </si>
  <si>
    <t>_VEE2</t>
  </si>
  <si>
    <t>_VEE1</t>
  </si>
  <si>
    <t>_QUE5</t>
  </si>
  <si>
    <t>_QUE4</t>
  </si>
  <si>
    <t>_QUE3</t>
  </si>
  <si>
    <t>_QUE2</t>
  </si>
  <si>
    <t>_QUE1</t>
  </si>
  <si>
    <t>Derived from Raymer =n 17.89</t>
  </si>
  <si>
    <r>
      <t>FAR 25.121 (at V</t>
    </r>
    <r>
      <rPr>
        <vertAlign val="subscript"/>
        <sz val="10"/>
        <rFont val="Calibri"/>
        <family val="2"/>
        <scheme val="minor"/>
      </rPr>
      <t>2</t>
    </r>
    <r>
      <rPr>
        <sz val="10"/>
        <rFont val="Calibri"/>
        <family val="2"/>
        <scheme val="minor"/>
      </rPr>
      <t>)</t>
    </r>
  </si>
  <si>
    <t>_GEE1</t>
  </si>
  <si>
    <t>_GEE2</t>
  </si>
  <si>
    <t>_GEE3</t>
  </si>
  <si>
    <t>_GEE4</t>
  </si>
  <si>
    <t>_GEE5</t>
  </si>
  <si>
    <t>WEITDIFF2</t>
  </si>
  <si>
    <t>Acceleration alt [ft]</t>
  </si>
  <si>
    <t>Speed of sound [ft/sec]</t>
  </si>
  <si>
    <t>Acceleration</t>
  </si>
  <si>
    <t>Linear acceleration</t>
  </si>
  <si>
    <t>Speed [ft/sec]</t>
  </si>
  <si>
    <t>Av Speed [ft/sec]</t>
  </si>
  <si>
    <t xml:space="preserve">Data for  Unmanned ATF replacement with Afterburning Turbofan (Raymer Appendix E) </t>
  </si>
  <si>
    <t>Scale 1 engine thrust [lb]</t>
  </si>
  <si>
    <t>Scale 1 thrust @30,000 ft</t>
  </si>
  <si>
    <t>Air density [slugs/ft^3]</t>
  </si>
  <si>
    <t>Av q [lb/ft^2]</t>
  </si>
  <si>
    <t>Av Weight during accel [lb]</t>
  </si>
  <si>
    <r>
      <t>Assumed C</t>
    </r>
    <r>
      <rPr>
        <vertAlign val="subscript"/>
        <sz val="10"/>
        <rFont val="Calibri"/>
        <family val="2"/>
        <scheme val="minor"/>
      </rPr>
      <t xml:space="preserve">D0 </t>
    </r>
    <r>
      <rPr>
        <sz val="10"/>
        <rFont val="Calibri"/>
        <family val="2"/>
        <scheme val="minor"/>
      </rPr>
      <t>(incomp)</t>
    </r>
  </si>
  <si>
    <r>
      <t>Assumed C</t>
    </r>
    <r>
      <rPr>
        <vertAlign val="subscript"/>
        <sz val="10"/>
        <rFont val="Calibri"/>
        <family val="2"/>
        <scheme val="minor"/>
      </rPr>
      <t>D0</t>
    </r>
    <r>
      <rPr>
        <sz val="10"/>
        <rFont val="Calibri"/>
        <family val="2"/>
        <scheme val="minor"/>
      </rPr>
      <t xml:space="preserve"> (wave)</t>
    </r>
  </si>
  <si>
    <t>Minimum Drag Buildup (subsonic):</t>
  </si>
  <si>
    <t>Zero Lift Wave Drag:</t>
  </si>
  <si>
    <r>
      <t>Wing gross frontal area [ft</t>
    </r>
    <r>
      <rPr>
        <vertAlign val="superscript"/>
        <sz val="10"/>
        <rFont val="Calibri"/>
        <family val="2"/>
        <scheme val="minor"/>
      </rPr>
      <t>2</t>
    </r>
    <r>
      <rPr>
        <sz val="10"/>
        <rFont val="Calibri"/>
        <family val="2"/>
        <scheme val="minor"/>
      </rPr>
      <t>]</t>
    </r>
  </si>
  <si>
    <t>GROSFRON</t>
  </si>
  <si>
    <t>Max cross-sectional Area</t>
  </si>
  <si>
    <t>FUSEAREA</t>
  </si>
  <si>
    <t>Frontal area in fuse [ft2]</t>
  </si>
  <si>
    <t>Wing net frontal area [ft2]</t>
  </si>
  <si>
    <t>NETFRON</t>
  </si>
  <si>
    <t>Fuselage x-s area [ft2]</t>
  </si>
  <si>
    <t>FUSEXS</t>
  </si>
  <si>
    <t>Total x-s area [ft2]</t>
  </si>
  <si>
    <t>XSAREA</t>
  </si>
  <si>
    <t>CD0 (Sears-Haack)</t>
  </si>
  <si>
    <t>EWD</t>
  </si>
  <si>
    <r>
      <t>Wave drag effy factor (E</t>
    </r>
    <r>
      <rPr>
        <vertAlign val="subscript"/>
        <sz val="10"/>
        <rFont val="Calibri"/>
        <family val="2"/>
        <scheme val="minor"/>
      </rPr>
      <t>WD</t>
    </r>
    <r>
      <rPr>
        <sz val="10"/>
        <rFont val="Calibri"/>
        <family val="2"/>
        <scheme val="minor"/>
      </rPr>
      <t>)</t>
    </r>
  </si>
  <si>
    <t>Ave Mach</t>
  </si>
  <si>
    <t>Assumed K for AR =2</t>
  </si>
  <si>
    <t>Drag [lb]</t>
  </si>
  <si>
    <t>Total inlet x-s area [ft^2]</t>
  </si>
  <si>
    <t>Δt</t>
  </si>
  <si>
    <r>
      <t>C</t>
    </r>
    <r>
      <rPr>
        <vertAlign val="subscript"/>
        <sz val="10"/>
        <rFont val="Calibri"/>
        <family val="2"/>
        <scheme val="minor"/>
      </rPr>
      <t xml:space="preserve">D0 </t>
    </r>
    <r>
      <rPr>
        <sz val="10"/>
        <rFont val="Calibri"/>
        <family val="2"/>
        <scheme val="minor"/>
      </rPr>
      <t>(Sears-Haack)</t>
    </r>
  </si>
  <si>
    <t xml:space="preserve">First Guess     V  </t>
  </si>
  <si>
    <t>T/W</t>
  </si>
  <si>
    <t>Required accel time [sec]</t>
  </si>
  <si>
    <t>Scale 1 Average Thrust [lb]</t>
  </si>
  <si>
    <t>Reference W/S [lb/ft²]</t>
  </si>
  <si>
    <r>
      <t>W/S during accel [lb/ft</t>
    </r>
    <r>
      <rPr>
        <vertAlign val="superscript"/>
        <sz val="10"/>
        <rFont val="Calibri"/>
        <family val="2"/>
        <scheme val="minor"/>
      </rPr>
      <t>2</t>
    </r>
    <r>
      <rPr>
        <sz val="10"/>
        <rFont val="Calibri"/>
        <family val="2"/>
        <scheme val="minor"/>
      </rPr>
      <t>]</t>
    </r>
  </si>
  <si>
    <t>Ref Thrust [lb]</t>
  </si>
  <si>
    <r>
      <t xml:space="preserve"> Incomp + comp C</t>
    </r>
    <r>
      <rPr>
        <vertAlign val="subscript"/>
        <sz val="10"/>
        <rFont val="Calibri"/>
        <family val="2"/>
        <scheme val="minor"/>
      </rPr>
      <t>D0</t>
    </r>
  </si>
  <si>
    <r>
      <t>Use the regression =n below for first cut at W</t>
    </r>
    <r>
      <rPr>
        <vertAlign val="subscript"/>
        <sz val="10"/>
        <rFont val="Calibri"/>
        <family val="2"/>
        <scheme val="minor"/>
      </rPr>
      <t>e</t>
    </r>
    <r>
      <rPr>
        <sz val="10"/>
        <rFont val="Calibri"/>
        <family val="2"/>
        <scheme val="minor"/>
      </rPr>
      <t xml:space="preserve"> versus TOGW.</t>
    </r>
  </si>
  <si>
    <t xml:space="preserve"> Inst turn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</si>
</sst>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mm/dd/yy_)"/>
    <numFmt numFmtId="165" formatCode="0.00_)"/>
    <numFmt numFmtId="166" formatCode="0.00E+00_)"/>
    <numFmt numFmtId="167" formatCode="0.0_)"/>
    <numFmt numFmtId="168" formatCode="0.0000_)"/>
    <numFmt numFmtId="169" formatCode="0.0E+00_)"/>
    <numFmt numFmtId="170" formatCode="0_)"/>
    <numFmt numFmtId="171" formatCode="0.0"/>
    <numFmt numFmtId="172" formatCode="#,##0.0000"/>
    <numFmt numFmtId="173" formatCode="0.000"/>
    <numFmt numFmtId="174" formatCode="0.0000"/>
    <numFmt numFmtId="175" formatCode="#,##0.000"/>
    <numFmt numFmtId="176" formatCode="#,##0.0"/>
  </numFmts>
  <fonts count="15" x14ac:knownFonts="1">
    <font>
      <sz val="10"/>
      <name val="Courier"/>
    </font>
    <font>
      <sz val="8"/>
      <name val="Courier"/>
      <family val="3"/>
    </font>
    <font>
      <sz val="10"/>
      <name val="Calibri"/>
      <family val="2"/>
    </font>
    <font>
      <b/>
      <sz val="10"/>
      <name val="Calibri"/>
      <family val="2"/>
      <scheme val="minor"/>
    </font>
    <font>
      <sz val="10"/>
      <name val="Calibri"/>
      <family val="2"/>
      <scheme val="minor"/>
    </font>
    <font>
      <sz val="10"/>
      <color rgb="FFFF0000"/>
      <name val="Calibri"/>
      <family val="2"/>
      <scheme val="minor"/>
    </font>
    <font>
      <sz val="10"/>
      <color indexed="10"/>
      <name val="Calibri"/>
      <family val="2"/>
      <scheme val="minor"/>
    </font>
    <font>
      <vertAlign val="subscript"/>
      <sz val="10"/>
      <name val="Calibri"/>
      <family val="2"/>
      <scheme val="minor"/>
    </font>
    <font>
      <b/>
      <sz val="10"/>
      <color indexed="10"/>
      <name val="Calibri"/>
      <family val="2"/>
      <scheme val="minor"/>
    </font>
    <font>
      <sz val="8"/>
      <color indexed="81"/>
      <name val="Tahoma"/>
      <family val="2"/>
    </font>
    <font>
      <b/>
      <sz val="8"/>
      <color indexed="81"/>
      <name val="Tahoma"/>
      <family val="2"/>
    </font>
    <font>
      <vertAlign val="subscript"/>
      <sz val="10"/>
      <name val="Calibri"/>
      <family val="2"/>
    </font>
    <font>
      <sz val="9"/>
      <color indexed="81"/>
      <name val="Tahoma"/>
      <family val="2"/>
    </font>
    <font>
      <b/>
      <sz val="9"/>
      <color indexed="81"/>
      <name val="Tahoma"/>
      <family val="2"/>
    </font>
    <font>
      <vertAlign val="superscript"/>
      <sz val="1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19">
    <xf numFmtId="0" fontId="0" fillId="0" borderId="0" xfId="0"/>
    <xf numFmtId="0" fontId="0" fillId="0" borderId="0" xfId="0" applyBorder="1"/>
    <xf numFmtId="0" fontId="3" fillId="0" borderId="0" xfId="0" applyFont="1" applyAlignment="1" applyProtection="1">
      <alignment horizontal="left"/>
    </xf>
    <xf numFmtId="0" fontId="3" fillId="0" borderId="0" xfId="0" applyFont="1"/>
    <xf numFmtId="0" fontId="4" fillId="0" borderId="0" xfId="0" applyFont="1"/>
    <xf numFmtId="0" fontId="4" fillId="0" borderId="0" xfId="0" applyFont="1" applyAlignment="1" applyProtection="1">
      <alignment horizontal="left"/>
    </xf>
    <xf numFmtId="164" fontId="3" fillId="0" borderId="0" xfId="0" applyNumberFormat="1" applyFont="1" applyProtection="1"/>
    <xf numFmtId="165" fontId="4" fillId="0" borderId="0" xfId="0" applyNumberFormat="1" applyFont="1" applyAlignment="1" applyProtection="1">
      <alignment horizontal="left"/>
    </xf>
    <xf numFmtId="166" fontId="4" fillId="0" borderId="0" xfId="0" applyNumberFormat="1" applyFont="1" applyProtection="1"/>
    <xf numFmtId="0" fontId="4" fillId="0" borderId="1" xfId="0" applyFont="1" applyBorder="1" applyAlignment="1" applyProtection="1">
      <alignment horizontal="left"/>
    </xf>
    <xf numFmtId="0" fontId="6" fillId="0" borderId="1" xfId="0" applyFont="1" applyBorder="1" applyProtection="1"/>
    <xf numFmtId="0" fontId="4" fillId="0" borderId="0" xfId="0" applyFont="1" applyProtection="1"/>
    <xf numFmtId="0" fontId="4" fillId="0" borderId="1" xfId="0" applyFont="1" applyBorder="1"/>
    <xf numFmtId="0" fontId="6" fillId="0" borderId="1" xfId="0" applyFont="1" applyBorder="1"/>
    <xf numFmtId="0" fontId="4" fillId="0" borderId="1" xfId="0" applyFont="1" applyBorder="1" applyProtection="1"/>
    <xf numFmtId="167" fontId="4" fillId="0" borderId="1" xfId="0" applyNumberFormat="1" applyFont="1" applyBorder="1" applyProtection="1"/>
    <xf numFmtId="165" fontId="4" fillId="0" borderId="1" xfId="0" applyNumberFormat="1" applyFont="1" applyBorder="1" applyProtection="1"/>
    <xf numFmtId="168" fontId="4" fillId="0" borderId="1" xfId="0" applyNumberFormat="1" applyFont="1" applyBorder="1" applyProtection="1"/>
    <xf numFmtId="169" fontId="4" fillId="0" borderId="1" xfId="0" applyNumberFormat="1" applyFont="1" applyBorder="1" applyProtection="1"/>
    <xf numFmtId="0" fontId="4" fillId="0" borderId="1" xfId="0" applyFont="1" applyBorder="1" applyAlignment="1" applyProtection="1">
      <alignment horizontal="center"/>
    </xf>
    <xf numFmtId="0" fontId="3" fillId="0" borderId="0" xfId="0" applyFont="1" applyAlignment="1" applyProtection="1">
      <alignment horizontal="center"/>
    </xf>
    <xf numFmtId="170" fontId="4" fillId="0" borderId="1" xfId="0" applyNumberFormat="1" applyFont="1" applyBorder="1" applyProtection="1"/>
    <xf numFmtId="0" fontId="4" fillId="0" borderId="0" xfId="0" applyFont="1" applyBorder="1" applyAlignment="1" applyProtection="1">
      <alignment horizontal="left"/>
    </xf>
    <xf numFmtId="0" fontId="4" fillId="0" borderId="0" xfId="0" applyFont="1" applyBorder="1" applyProtection="1"/>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6" xfId="0" applyFont="1" applyBorder="1" applyProtection="1"/>
    <xf numFmtId="0" fontId="4" fillId="0" borderId="3" xfId="0" applyFont="1" applyBorder="1"/>
    <xf numFmtId="0" fontId="4" fillId="0" borderId="6" xfId="0" applyFont="1" applyBorder="1"/>
    <xf numFmtId="0" fontId="4" fillId="0" borderId="6" xfId="0" applyFont="1" applyBorder="1" applyAlignment="1" applyProtection="1">
      <alignment horizontal="left"/>
    </xf>
    <xf numFmtId="0" fontId="4" fillId="0" borderId="6" xfId="0" applyFont="1" applyBorder="1" applyAlignment="1" applyProtection="1">
      <alignment horizontal="center"/>
    </xf>
    <xf numFmtId="0" fontId="4" fillId="0" borderId="4" xfId="0" applyFont="1" applyBorder="1"/>
    <xf numFmtId="0" fontId="4" fillId="0" borderId="0" xfId="0" applyFont="1" applyBorder="1"/>
    <xf numFmtId="0" fontId="4" fillId="0" borderId="7" xfId="0" applyFont="1" applyBorder="1" applyAlignment="1" applyProtection="1">
      <alignment horizontal="center"/>
    </xf>
    <xf numFmtId="0" fontId="4" fillId="0" borderId="7" xfId="0" applyFont="1" applyBorder="1" applyAlignment="1" applyProtection="1">
      <alignment horizontal="fill"/>
    </xf>
    <xf numFmtId="0" fontId="4" fillId="0" borderId="7" xfId="0" applyFont="1" applyBorder="1"/>
    <xf numFmtId="0" fontId="3" fillId="0" borderId="9" xfId="0" applyFont="1" applyBorder="1" applyAlignment="1" applyProtection="1">
      <alignment horizontal="left"/>
    </xf>
    <xf numFmtId="0" fontId="4" fillId="0" borderId="5" xfId="0" applyFont="1" applyBorder="1"/>
    <xf numFmtId="0" fontId="4" fillId="0" borderId="8" xfId="0" applyFont="1" applyBorder="1" applyAlignment="1" applyProtection="1">
      <alignment horizontal="left"/>
    </xf>
    <xf numFmtId="0" fontId="4" fillId="0" borderId="8" xfId="0" applyFont="1" applyBorder="1" applyAlignment="1" applyProtection="1">
      <alignment horizontal="center"/>
    </xf>
    <xf numFmtId="0" fontId="4" fillId="0" borderId="8" xfId="0" applyFont="1" applyBorder="1"/>
    <xf numFmtId="0" fontId="3" fillId="0" borderId="10" xfId="0" applyFont="1" applyBorder="1" applyAlignment="1" applyProtection="1">
      <alignment horizontal="left"/>
    </xf>
    <xf numFmtId="0" fontId="4" fillId="0" borderId="11" xfId="0" applyFont="1" applyBorder="1" applyAlignment="1" applyProtection="1">
      <alignment horizontal="center"/>
    </xf>
    <xf numFmtId="0" fontId="4" fillId="0" borderId="0" xfId="0" applyFont="1" applyAlignment="1" applyProtection="1">
      <alignment horizontal="center"/>
    </xf>
    <xf numFmtId="0" fontId="4" fillId="0" borderId="7" xfId="0" applyFont="1" applyBorder="1" applyAlignment="1" applyProtection="1">
      <alignment horizontal="left"/>
    </xf>
    <xf numFmtId="166" fontId="4" fillId="0" borderId="1" xfId="0" applyNumberFormat="1" applyFont="1" applyBorder="1" applyProtection="1"/>
    <xf numFmtId="167" fontId="4" fillId="0" borderId="1" xfId="0" applyNumberFormat="1" applyFont="1" applyBorder="1" applyAlignment="1" applyProtection="1">
      <alignment horizontal="left"/>
    </xf>
    <xf numFmtId="165" fontId="4" fillId="0" borderId="1" xfId="0" applyNumberFormat="1" applyFont="1" applyBorder="1" applyAlignment="1" applyProtection="1">
      <alignment horizontal="left"/>
    </xf>
    <xf numFmtId="170" fontId="4" fillId="0" borderId="0" xfId="0" applyNumberFormat="1" applyFont="1" applyProtection="1"/>
    <xf numFmtId="0" fontId="5" fillId="0" borderId="1" xfId="0" applyFont="1" applyBorder="1" applyProtection="1"/>
    <xf numFmtId="0" fontId="5" fillId="0" borderId="1" xfId="0" applyFont="1" applyBorder="1"/>
    <xf numFmtId="0" fontId="5" fillId="0" borderId="1" xfId="0" applyFont="1" applyBorder="1" applyAlignment="1" applyProtection="1">
      <alignment horizontal="left"/>
    </xf>
    <xf numFmtId="168" fontId="5" fillId="0" borderId="1" xfId="0" applyNumberFormat="1" applyFont="1" applyBorder="1" applyProtection="1"/>
    <xf numFmtId="170" fontId="4" fillId="0" borderId="0" xfId="0" applyNumberFormat="1" applyFont="1" applyBorder="1" applyProtection="1"/>
    <xf numFmtId="0" fontId="3" fillId="0" borderId="1" xfId="0" applyFont="1" applyBorder="1"/>
    <xf numFmtId="0" fontId="3" fillId="0" borderId="12" xfId="0" applyFont="1" applyBorder="1"/>
    <xf numFmtId="0" fontId="3" fillId="0" borderId="13" xfId="0" applyFont="1" applyBorder="1"/>
    <xf numFmtId="170" fontId="3" fillId="0" borderId="14" xfId="0" applyNumberFormat="1" applyFont="1" applyBorder="1" applyAlignment="1" applyProtection="1">
      <alignment horizontal="center"/>
    </xf>
    <xf numFmtId="168" fontId="4" fillId="0" borderId="0" xfId="0" applyNumberFormat="1" applyFont="1" applyProtection="1"/>
    <xf numFmtId="1" fontId="4" fillId="0" borderId="1" xfId="0" applyNumberFormat="1" applyFont="1" applyBorder="1" applyProtection="1"/>
    <xf numFmtId="171" fontId="4" fillId="0" borderId="1" xfId="0" applyNumberFormat="1" applyFont="1" applyBorder="1" applyProtection="1"/>
    <xf numFmtId="2" fontId="4" fillId="0" borderId="1" xfId="0" applyNumberFormat="1" applyFont="1" applyBorder="1" applyProtection="1"/>
    <xf numFmtId="0" fontId="4" fillId="0" borderId="1" xfId="0" applyFont="1" applyBorder="1" applyAlignment="1" applyProtection="1">
      <alignment horizontal="center" wrapText="1"/>
    </xf>
    <xf numFmtId="0" fontId="3" fillId="0" borderId="1" xfId="0" applyFont="1" applyBorder="1" applyAlignment="1" applyProtection="1">
      <alignment horizontal="left"/>
    </xf>
    <xf numFmtId="1" fontId="8" fillId="0" borderId="1" xfId="0" applyNumberFormat="1" applyFont="1" applyBorder="1" applyProtection="1"/>
    <xf numFmtId="0" fontId="4" fillId="0" borderId="10" xfId="0" applyFont="1" applyBorder="1" applyAlignment="1" applyProtection="1"/>
    <xf numFmtId="0" fontId="4" fillId="0" borderId="15" xfId="0" applyFont="1" applyBorder="1" applyAlignment="1" applyProtection="1"/>
    <xf numFmtId="0" fontId="4" fillId="0" borderId="11" xfId="0" applyFont="1" applyBorder="1" applyAlignment="1" applyProtection="1"/>
    <xf numFmtId="0" fontId="4" fillId="0" borderId="1" xfId="0" applyFont="1" applyBorder="1" applyAlignment="1">
      <alignment horizontal="left"/>
    </xf>
    <xf numFmtId="0" fontId="4" fillId="0" borderId="10" xfId="0" applyFont="1" applyBorder="1" applyAlignment="1" applyProtection="1">
      <alignment horizontal="left"/>
    </xf>
    <xf numFmtId="0" fontId="4" fillId="0" borderId="15" xfId="0" applyFont="1" applyBorder="1" applyAlignment="1" applyProtection="1">
      <alignment horizontal="left"/>
    </xf>
    <xf numFmtId="0" fontId="4" fillId="0" borderId="11" xfId="0" applyFont="1" applyBorder="1" applyAlignment="1" applyProtection="1">
      <alignment horizontal="left"/>
    </xf>
    <xf numFmtId="0" fontId="4" fillId="0" borderId="10" xfId="0" applyFont="1" applyBorder="1" applyAlignment="1"/>
    <xf numFmtId="0" fontId="4" fillId="0" borderId="11" xfId="0" applyFont="1" applyBorder="1" applyAlignment="1"/>
    <xf numFmtId="0" fontId="4" fillId="0" borderId="1"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xf>
    <xf numFmtId="0" fontId="4" fillId="0" borderId="1" xfId="0" applyFont="1" applyBorder="1" applyAlignment="1" applyProtection="1"/>
    <xf numFmtId="0" fontId="4" fillId="0" borderId="1" xfId="0" applyFont="1" applyBorder="1" applyAlignment="1"/>
    <xf numFmtId="0" fontId="4" fillId="0" borderId="1" xfId="0" applyFont="1" applyBorder="1" applyAlignment="1" applyProtection="1">
      <alignment horizontal="right"/>
    </xf>
    <xf numFmtId="1" fontId="4" fillId="0" borderId="0" xfId="0" applyNumberFormat="1" applyFont="1"/>
    <xf numFmtId="2" fontId="4" fillId="0" borderId="0" xfId="0" applyNumberFormat="1" applyFont="1"/>
    <xf numFmtId="3" fontId="4" fillId="0" borderId="0" xfId="0" applyNumberFormat="1" applyFont="1"/>
    <xf numFmtId="0" fontId="0" fillId="0" borderId="1" xfId="0" applyBorder="1"/>
    <xf numFmtId="2" fontId="4" fillId="0" borderId="1" xfId="0" applyNumberFormat="1" applyFont="1" applyBorder="1"/>
    <xf numFmtId="0" fontId="4" fillId="0" borderId="1" xfId="0" applyFont="1" applyFill="1" applyBorder="1"/>
    <xf numFmtId="1" fontId="4" fillId="0" borderId="1" xfId="0" applyNumberFormat="1" applyFont="1" applyBorder="1"/>
    <xf numFmtId="172" fontId="4" fillId="0" borderId="0" xfId="0" applyNumberFormat="1" applyFont="1"/>
    <xf numFmtId="1" fontId="4" fillId="0" borderId="0" xfId="0" applyNumberFormat="1" applyFont="1" applyBorder="1"/>
    <xf numFmtId="173" fontId="4" fillId="0" borderId="0" xfId="0" applyNumberFormat="1" applyFont="1"/>
    <xf numFmtId="3" fontId="5" fillId="0" borderId="0" xfId="0" applyNumberFormat="1" applyFont="1"/>
    <xf numFmtId="174" fontId="4" fillId="0" borderId="0" xfId="0" applyNumberFormat="1" applyFont="1"/>
    <xf numFmtId="175" fontId="5" fillId="0" borderId="0" xfId="0" applyNumberFormat="1" applyFont="1"/>
    <xf numFmtId="176" fontId="4" fillId="0" borderId="0" xfId="0" applyNumberFormat="1" applyFont="1"/>
    <xf numFmtId="3" fontId="4" fillId="0" borderId="1" xfId="0" applyNumberFormat="1" applyFont="1" applyBorder="1"/>
    <xf numFmtId="171" fontId="4" fillId="0" borderId="1" xfId="0" applyNumberFormat="1" applyFont="1" applyBorder="1"/>
    <xf numFmtId="0" fontId="4" fillId="0" borderId="1" xfId="0" applyFont="1" applyBorder="1" applyAlignment="1">
      <alignment horizontal="center" wrapText="1"/>
    </xf>
    <xf numFmtId="0" fontId="0" fillId="0" borderId="1" xfId="0" applyBorder="1" applyAlignment="1">
      <alignment wrapText="1"/>
    </xf>
    <xf numFmtId="173" fontId="4" fillId="0" borderId="1" xfId="0" applyNumberFormat="1" applyFont="1" applyBorder="1"/>
    <xf numFmtId="174" fontId="4" fillId="0" borderId="1" xfId="0" applyNumberFormat="1" applyFont="1" applyBorder="1"/>
    <xf numFmtId="172" fontId="4" fillId="0" borderId="1" xfId="0" applyNumberFormat="1" applyFont="1" applyBorder="1"/>
    <xf numFmtId="175" fontId="5" fillId="0" borderId="1" xfId="0" applyNumberFormat="1" applyFont="1" applyBorder="1"/>
    <xf numFmtId="3" fontId="2" fillId="0" borderId="1" xfId="0" applyNumberFormat="1" applyFont="1" applyBorder="1" applyAlignment="1">
      <alignment horizontal="center"/>
    </xf>
    <xf numFmtId="176" fontId="4" fillId="0" borderId="1" xfId="0" applyNumberFormat="1" applyFont="1" applyBorder="1"/>
    <xf numFmtId="0" fontId="4" fillId="0" borderId="1" xfId="0" applyFont="1" applyBorder="1" applyAlignment="1">
      <alignment horizontal="center"/>
    </xf>
    <xf numFmtId="0" fontId="4" fillId="0" borderId="10" xfId="0" applyFont="1" applyBorder="1" applyAlignment="1" applyProtection="1"/>
    <xf numFmtId="0" fontId="4" fillId="0" borderId="15" xfId="0" applyFont="1" applyBorder="1" applyAlignment="1" applyProtection="1"/>
    <xf numFmtId="0" fontId="4" fillId="0" borderId="11" xfId="0" applyFont="1" applyBorder="1" applyAlignment="1" applyProtection="1"/>
    <xf numFmtId="0" fontId="4" fillId="0" borderId="10" xfId="0" applyFont="1" applyBorder="1" applyAlignment="1" applyProtection="1">
      <alignment horizontal="left"/>
    </xf>
    <xf numFmtId="0" fontId="4" fillId="0" borderId="15" xfId="0" applyFont="1" applyBorder="1" applyAlignment="1" applyProtection="1">
      <alignment horizontal="left"/>
    </xf>
    <xf numFmtId="0" fontId="4" fillId="0" borderId="11" xfId="0" applyFont="1" applyBorder="1" applyAlignment="1" applyProtection="1">
      <alignment horizontal="left"/>
    </xf>
    <xf numFmtId="0" fontId="4" fillId="0" borderId="1" xfId="0" applyFont="1" applyBorder="1" applyAlignment="1">
      <alignment horizontal="left"/>
    </xf>
    <xf numFmtId="0" fontId="4" fillId="0" borderId="10" xfId="0" applyFont="1" applyBorder="1" applyAlignment="1">
      <alignment horizontal="left"/>
    </xf>
    <xf numFmtId="0" fontId="4" fillId="0" borderId="15" xfId="0" applyFont="1" applyBorder="1" applyAlignment="1">
      <alignment horizontal="left"/>
    </xf>
    <xf numFmtId="0" fontId="4" fillId="0" borderId="11" xfId="0" applyFont="1" applyBorder="1" applyAlignment="1">
      <alignment horizontal="left"/>
    </xf>
    <xf numFmtId="0" fontId="4" fillId="0" borderId="0" xfId="0" applyFont="1" applyAlignment="1" applyProtection="1">
      <alignment horizontal="center" wrapText="1"/>
    </xf>
    <xf numFmtId="0" fontId="4" fillId="0" borderId="5" xfId="0" applyFont="1" applyBorder="1" applyAlignment="1" applyProtection="1">
      <alignment horizontal="center" wrapText="1"/>
    </xf>
    <xf numFmtId="0" fontId="4" fillId="0" borderId="1" xfId="0" applyFont="1" applyBorder="1" applyAlignment="1">
      <alignment horizontal="center"/>
    </xf>
    <xf numFmtId="0" fontId="4" fillId="0" borderId="1" xfId="0" applyFont="1" applyBorder="1" applyAlignment="1" applyProtection="1">
      <alignment horizontal="center"/>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5" Type="http://schemas.openxmlformats.org/officeDocument/2006/relationships/worksheet" Target="worksheets/sheet5.xml"/><Relationship Id="rId15" Type="http://schemas.openxmlformats.org/officeDocument/2006/relationships/chartsheet" Target="chartsheets/sheet6.xml"/><Relationship Id="rId10" Type="http://schemas.openxmlformats.org/officeDocument/2006/relationships/chartsheet" Target="chartsheets/sheet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Assumed</a:t>
            </a:r>
            <a:r>
              <a:rPr lang="en-US" baseline="0"/>
              <a:t> C</a:t>
            </a:r>
            <a:r>
              <a:rPr lang="en-US" baseline="-25000"/>
              <a:t>D0</a:t>
            </a:r>
            <a:r>
              <a:rPr lang="en-US" baseline="0"/>
              <a:t> (wave)</a:t>
            </a:r>
            <a:endParaRPr lang="en-US"/>
          </a:p>
        </c:rich>
      </c:tx>
      <c:layout>
        <c:manualLayout>
          <c:xMode val="edge"/>
          <c:yMode val="edge"/>
          <c:x val="0.42338188976377955"/>
          <c:y val="5.55555555555555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Acceleration!$B$23:$B$39</c:f>
              <c:numCache>
                <c:formatCode>0.00</c:formatCode>
                <c:ptCount val="17"/>
                <c:pt idx="0">
                  <c:v>0.8</c:v>
                </c:pt>
                <c:pt idx="1">
                  <c:v>0.85</c:v>
                </c:pt>
                <c:pt idx="2">
                  <c:v>0.9</c:v>
                </c:pt>
                <c:pt idx="3">
                  <c:v>0.95</c:v>
                </c:pt>
                <c:pt idx="4">
                  <c:v>1</c:v>
                </c:pt>
                <c:pt idx="5">
                  <c:v>1.05</c:v>
                </c:pt>
                <c:pt idx="6">
                  <c:v>1.1000000000000001</c:v>
                </c:pt>
                <c:pt idx="7">
                  <c:v>1.1499999999999999</c:v>
                </c:pt>
                <c:pt idx="8">
                  <c:v>1.2</c:v>
                </c:pt>
                <c:pt idx="9">
                  <c:v>1.25</c:v>
                </c:pt>
                <c:pt idx="10">
                  <c:v>1.3</c:v>
                </c:pt>
                <c:pt idx="11">
                  <c:v>1.35</c:v>
                </c:pt>
                <c:pt idx="12">
                  <c:v>1.4</c:v>
                </c:pt>
                <c:pt idx="13">
                  <c:v>1.45</c:v>
                </c:pt>
                <c:pt idx="14">
                  <c:v>1.5</c:v>
                </c:pt>
                <c:pt idx="15">
                  <c:v>1.55</c:v>
                </c:pt>
                <c:pt idx="16">
                  <c:v>1.6</c:v>
                </c:pt>
              </c:numCache>
            </c:numRef>
          </c:xVal>
          <c:yVal>
            <c:numRef>
              <c:f>Acceleration!$J$23:$J$39</c:f>
              <c:numCache>
                <c:formatCode>0.0000</c:formatCode>
                <c:ptCount val="17"/>
                <c:pt idx="0">
                  <c:v>0</c:v>
                </c:pt>
                <c:pt idx="1">
                  <c:v>8.7978436902263286E-5</c:v>
                </c:pt>
                <c:pt idx="2">
                  <c:v>2.6393531070678986E-4</c:v>
                </c:pt>
                <c:pt idx="3">
                  <c:v>7.0382749521810629E-4</c:v>
                </c:pt>
                <c:pt idx="4">
                  <c:v>2.3173520280056151E-3</c:v>
                </c:pt>
                <c:pt idx="5">
                  <c:v>4.6347040560112303E-3</c:v>
                </c:pt>
                <c:pt idx="6">
                  <c:v>5.1027493403312703E-3</c:v>
                </c:pt>
                <c:pt idx="7">
                  <c:v>4.838814029624482E-3</c:v>
                </c:pt>
                <c:pt idx="8">
                  <c:v>4.6347040560112303E-3</c:v>
                </c:pt>
                <c:pt idx="9">
                  <c:v>4.5487710684377182E-3</c:v>
                </c:pt>
                <c:pt idx="10">
                  <c:v>4.5071345104637783E-3</c:v>
                </c:pt>
                <c:pt idx="11">
                  <c:v>4.4739658836141522E-3</c:v>
                </c:pt>
                <c:pt idx="12">
                  <c:v>4.4453240587516022E-3</c:v>
                </c:pt>
                <c:pt idx="13">
                  <c:v>4.4196375332776067E-3</c:v>
                </c:pt>
                <c:pt idx="14">
                  <c:v>4.3960844503879324E-3</c:v>
                </c:pt>
                <c:pt idx="15">
                  <c:v>4.3741692243078681E-3</c:v>
                </c:pt>
                <c:pt idx="16">
                  <c:v>4.3535649862736486E-3</c:v>
                </c:pt>
              </c:numCache>
            </c:numRef>
          </c:yVal>
          <c:smooth val="1"/>
        </c:ser>
        <c:dLbls>
          <c:showLegendKey val="0"/>
          <c:showVal val="0"/>
          <c:showCatName val="0"/>
          <c:showSerName val="0"/>
          <c:showPercent val="0"/>
          <c:showBubbleSize val="0"/>
        </c:dLbls>
        <c:axId val="367675184"/>
        <c:axId val="367675576"/>
      </c:scatterChart>
      <c:valAx>
        <c:axId val="367675184"/>
        <c:scaling>
          <c:orientation val="minMax"/>
          <c:min val="0.6000000000000000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Mach</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675576"/>
        <c:crosses val="autoZero"/>
        <c:crossBetween val="midCat"/>
      </c:valAx>
      <c:valAx>
        <c:axId val="367675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t>
                </a:r>
                <a:r>
                  <a:rPr lang="en-US" baseline="-25000"/>
                  <a:t>D0</a:t>
                </a:r>
              </a:p>
            </c:rich>
          </c:tx>
          <c:layout>
            <c:manualLayout>
              <c:xMode val="edge"/>
              <c:yMode val="edge"/>
              <c:x val="3.1007751937984496E-2"/>
              <c:y val="0.42991663486998039"/>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675184"/>
        <c:crosses val="autoZero"/>
        <c:crossBetween val="midCat"/>
        <c:majorUnit val="1.0000000000000002E-3"/>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Assumed</a:t>
            </a:r>
            <a:r>
              <a:rPr lang="en-US" baseline="0"/>
              <a:t> K for AR=2</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spPr>
            <a:ln w="19050" cap="rnd">
              <a:solidFill>
                <a:schemeClr val="accent1"/>
              </a:solidFill>
              <a:round/>
            </a:ln>
            <a:effectLst/>
          </c:spPr>
          <c:marker>
            <c:symbol val="none"/>
          </c:marker>
          <c:xVal>
            <c:numRef>
              <c:f>Acceleration!$B$23:$B$39</c:f>
              <c:numCache>
                <c:formatCode>0.00</c:formatCode>
                <c:ptCount val="17"/>
                <c:pt idx="0">
                  <c:v>0.8</c:v>
                </c:pt>
                <c:pt idx="1">
                  <c:v>0.85</c:v>
                </c:pt>
                <c:pt idx="2">
                  <c:v>0.9</c:v>
                </c:pt>
                <c:pt idx="3">
                  <c:v>0.95</c:v>
                </c:pt>
                <c:pt idx="4">
                  <c:v>1</c:v>
                </c:pt>
                <c:pt idx="5">
                  <c:v>1.05</c:v>
                </c:pt>
                <c:pt idx="6">
                  <c:v>1.1000000000000001</c:v>
                </c:pt>
                <c:pt idx="7">
                  <c:v>1.1499999999999999</c:v>
                </c:pt>
                <c:pt idx="8">
                  <c:v>1.2</c:v>
                </c:pt>
                <c:pt idx="9">
                  <c:v>1.25</c:v>
                </c:pt>
                <c:pt idx="10">
                  <c:v>1.3</c:v>
                </c:pt>
                <c:pt idx="11">
                  <c:v>1.35</c:v>
                </c:pt>
                <c:pt idx="12">
                  <c:v>1.4</c:v>
                </c:pt>
                <c:pt idx="13">
                  <c:v>1.45</c:v>
                </c:pt>
                <c:pt idx="14">
                  <c:v>1.5</c:v>
                </c:pt>
                <c:pt idx="15">
                  <c:v>1.55</c:v>
                </c:pt>
                <c:pt idx="16">
                  <c:v>1.6</c:v>
                </c:pt>
              </c:numCache>
            </c:numRef>
          </c:xVal>
          <c:yVal>
            <c:numRef>
              <c:f>Acceleration!$L$23:$L$39</c:f>
              <c:numCache>
                <c:formatCode>#,##0.000</c:formatCode>
                <c:ptCount val="17"/>
                <c:pt idx="0">
                  <c:v>0.25</c:v>
                </c:pt>
                <c:pt idx="1">
                  <c:v>0.24299999999999999</c:v>
                </c:pt>
                <c:pt idx="2">
                  <c:v>0.24</c:v>
                </c:pt>
                <c:pt idx="3">
                  <c:v>0.24399999999999999</c:v>
                </c:pt>
                <c:pt idx="4">
                  <c:v>0.252</c:v>
                </c:pt>
                <c:pt idx="5">
                  <c:v>0.26</c:v>
                </c:pt>
                <c:pt idx="6">
                  <c:v>0.26800000000000002</c:v>
                </c:pt>
                <c:pt idx="7">
                  <c:v>0.27500000000000002</c:v>
                </c:pt>
                <c:pt idx="8">
                  <c:v>0.28000000000000003</c:v>
                </c:pt>
                <c:pt idx="9">
                  <c:v>0.28499999999999998</c:v>
                </c:pt>
                <c:pt idx="10">
                  <c:v>0.28999999999999998</c:v>
                </c:pt>
                <c:pt idx="11">
                  <c:v>0.29499999999999998</c:v>
                </c:pt>
                <c:pt idx="12">
                  <c:v>0.3</c:v>
                </c:pt>
                <c:pt idx="13">
                  <c:v>0.30499999999999999</c:v>
                </c:pt>
                <c:pt idx="14">
                  <c:v>0.31</c:v>
                </c:pt>
                <c:pt idx="15">
                  <c:v>0.315</c:v>
                </c:pt>
                <c:pt idx="16">
                  <c:v>0.32</c:v>
                </c:pt>
              </c:numCache>
            </c:numRef>
          </c:yVal>
          <c:smooth val="1"/>
        </c:ser>
        <c:dLbls>
          <c:showLegendKey val="0"/>
          <c:showVal val="0"/>
          <c:showCatName val="0"/>
          <c:showSerName val="0"/>
          <c:showPercent val="0"/>
          <c:showBubbleSize val="0"/>
        </c:dLbls>
        <c:axId val="367676360"/>
        <c:axId val="367676752"/>
      </c:scatterChart>
      <c:valAx>
        <c:axId val="367676360"/>
        <c:scaling>
          <c:logBase val="10"/>
          <c:orientation val="minMax"/>
          <c:max val="2"/>
          <c:min val="0.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r>
                  <a:rPr lang="en-US"/>
                  <a:t>Mach</a:t>
                </a:r>
              </a:p>
            </c:rich>
          </c:tx>
          <c:layout/>
          <c:overlay val="0"/>
          <c:spPr>
            <a:noFill/>
            <a:ln>
              <a:noFill/>
            </a:ln>
            <a:effectLst/>
          </c:spPr>
          <c:txPr>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in"/>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676752"/>
        <c:crossesAt val="0.2"/>
        <c:crossBetween val="midCat"/>
      </c:valAx>
      <c:valAx>
        <c:axId val="367676752"/>
        <c:scaling>
          <c:logBase val="10"/>
          <c:orientation val="minMax"/>
          <c:max val="0.4"/>
          <c:min val="0.2"/>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 = dC</a:t>
                </a:r>
                <a:r>
                  <a:rPr lang="en-US" baseline="-25000"/>
                  <a:t>D</a:t>
                </a:r>
                <a:r>
                  <a:rPr lang="en-US"/>
                  <a:t>/dC</a:t>
                </a:r>
                <a:r>
                  <a:rPr lang="en-US" baseline="-25000"/>
                  <a:t>L</a:t>
                </a:r>
                <a:r>
                  <a:rPr lang="en-US" baseline="30000"/>
                  <a:t>2</a:t>
                </a:r>
                <a:r>
                  <a:rPr lang="en-US"/>
                  <a:t> </a:t>
                </a:r>
              </a:p>
            </c:rich>
          </c:tx>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6763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THRUST/WEIGHT VERSUS WING LOADING
MILITARY REQUIREMENTS</a:t>
            </a:r>
          </a:p>
        </c:rich>
      </c:tx>
      <c:layout>
        <c:manualLayout>
          <c:xMode val="edge"/>
          <c:yMode val="edge"/>
          <c:x val="0.35183129855715872"/>
          <c:y val="1.9575856443719418E-2"/>
        </c:manualLayout>
      </c:layout>
      <c:overlay val="0"/>
      <c:spPr>
        <a:noFill/>
        <a:ln w="25400">
          <a:noFill/>
        </a:ln>
      </c:spPr>
    </c:title>
    <c:autoTitleDeleted val="0"/>
    <c:plotArea>
      <c:layout>
        <c:manualLayout>
          <c:layoutTarget val="inner"/>
          <c:xMode val="edge"/>
          <c:yMode val="edge"/>
          <c:x val="7.1032186459489471E-2"/>
          <c:y val="0.14029363784665586"/>
          <c:w val="0.90455049944506083"/>
          <c:h val="0.75367047308319801"/>
        </c:manualLayout>
      </c:layout>
      <c:scatterChart>
        <c:scatterStyle val="lineMarker"/>
        <c:varyColors val="0"/>
        <c:ser>
          <c:idx val="0"/>
          <c:order val="0"/>
          <c:spPr>
            <a:ln w="12700">
              <a:solidFill>
                <a:srgbClr val="0000FF"/>
              </a:solidFill>
              <a:prstDash val="solid"/>
            </a:ln>
          </c:spPr>
          <c:marker>
            <c:symbol val="none"/>
          </c:marker>
          <c:dLbls>
            <c:dLbl>
              <c:idx val="0"/>
              <c:tx>
                <c:strRef>
                  <c:f>Performance!$A$75</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{258559F3-F7AF-4577-9F43-81EB73A3D720}</c15:txfldGUID>
                      <c15:f>Performance!$A$75</c15:f>
                      <c15:dlblFieldTableCache>
                        <c:ptCount val="1"/>
                      </c15:dlblFieldTableCache>
                    </c15:dlblFTEntry>
                  </c15:dlblFieldTable>
                  <c15:showDataLabelsRange val="0"/>
                </c:ext>
              </c:extLst>
            </c:dLbl>
            <c:dLbl>
              <c:idx val="1"/>
              <c:tx>
                <c:strRef>
                  <c:f>Performance!$B$75</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{CD60D5BC-6EEC-4153-B36A-99F374187E48}</c15:txfldGUID>
                      <c15:f>Performance!$B$75</c15:f>
                      <c15:dlblFieldTableCache>
                        <c:ptCount val="1"/>
                      </c15:dlblFieldTableCache>
                    </c15:dlblFTEntry>
                  </c15:dlblFieldTable>
                  <c15:showDataLabelsRange val="0"/>
                </c:ext>
              </c:extLst>
            </c:dLbl>
            <c:dLbl>
              <c:idx val="2"/>
              <c:tx>
                <c:strRef>
                  <c:f>Performance!$C$75</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{7647274C-E870-4557-9DD0-F074806CE31F}</c15:txfldGUID>
                      <c15:f>Performance!$C$75</c15:f>
                      <c15:dlblFieldTableCache>
                        <c:ptCount val="1"/>
                      </c15:dlblFieldTableCache>
                    </c15:dlblFTEntry>
                  </c15:dlblFieldTable>
                  <c15:showDataLabelsRange val="0"/>
                </c:ext>
              </c:extLst>
            </c:dLbl>
            <c:dLbl>
              <c:idx val="3"/>
              <c:tx>
                <c:strRef>
                  <c:f>Performance!$D$75</c:f>
                  <c:strCache>
                    <c:ptCount val="1"/>
                    <c:pt idx="0">
                      <c:v>Takeoff (Nicolai =n 6-3)</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{F98FFA67-AC37-4B43-9188-5E7F034C89B5}</c15:txfldGUID>
                      <c15:f>Performance!$D$75</c15:f>
                      <c15:dlblFieldTableCache>
                        <c:ptCount val="1"/>
                        <c:pt idx="0">
                          <c:v>Takeoff (Nicolai =n 6-3)</c:v>
                        </c:pt>
                      </c15:dlblFieldTableCache>
                    </c15:dlblFTEntry>
                  </c15:dlblFieldTable>
                  <c15:showDataLabelsRange val="0"/>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Performance!$C$49:$X$49</c:f>
              <c:numCache>
                <c:formatCode>General</c:formatCode>
                <c:ptCount val="22"/>
                <c:pt idx="0">
                  <c:v>6.5958350798381971E-2</c:v>
                </c:pt>
                <c:pt idx="1">
                  <c:v>8.8839424178499729E-2</c:v>
                </c:pt>
                <c:pt idx="2">
                  <c:v>0.11205390760075808</c:v>
                </c:pt>
                <c:pt idx="3">
                  <c:v>0.13557352115850924</c:v>
                </c:pt>
                <c:pt idx="4">
                  <c:v>0.15937770537574517</c:v>
                </c:pt>
                <c:pt idx="5">
                  <c:v>0.18345069242230033</c:v>
                </c:pt>
                <c:pt idx="6">
                  <c:v>0.20777993113478804</c:v>
                </c:pt>
                <c:pt idx="7">
                  <c:v>0.23235515347632851</c:v>
                </c:pt>
                <c:pt idx="8">
                  <c:v>0.25716778107767735</c:v>
                </c:pt>
                <c:pt idx="9">
                  <c:v>0.2822105274332522</c:v>
                </c:pt>
                <c:pt idx="10">
                  <c:v>0.30747711990842791</c:v>
                </c:pt>
                <c:pt idx="11">
                  <c:v>0.3329620988278702</c:v>
                </c:pt>
                <c:pt idx="12">
                  <c:v>0.358660668184415</c:v>
                </c:pt>
                <c:pt idx="13">
                  <c:v>0.38456858208809996</c:v>
                </c:pt>
                <c:pt idx="14">
                  <c:v>0.41068205666542862</c:v>
                </c:pt>
                <c:pt idx="15">
                  <c:v>0.43699770052250109</c:v>
                </c:pt>
                <c:pt idx="16">
                  <c:v>0.46351245903380045</c:v>
                </c:pt>
                <c:pt idx="17">
                  <c:v>0.49022356911698339</c:v>
                </c:pt>
                <c:pt idx="18">
                  <c:v>0.51712852208950544</c:v>
                </c:pt>
                <c:pt idx="19">
                  <c:v>0.54422503284370727</c:v>
                </c:pt>
                <c:pt idx="20">
                  <c:v>0.57151101402527071</c:v>
                </c:pt>
                <c:pt idx="21">
                  <c:v>0.59898455421951768</c:v>
                </c:pt>
              </c:numCache>
            </c:numRef>
          </c:yVal>
          <c:smooth val="0"/>
        </c:ser>
        <c:ser>
          <c:idx val="1"/>
          <c:order val="1"/>
          <c:spPr>
            <a:ln w="3175">
              <a:solidFill>
                <a:srgbClr val="00FF00"/>
              </a:solidFill>
              <a:prstDash val="solid"/>
            </a:ln>
          </c:spPr>
          <c:marker>
            <c:symbol val="none"/>
          </c:marker>
          <c:dPt>
            <c:idx val="23"/>
            <c:bubble3D val="0"/>
            <c:spPr>
              <a:ln w="12700">
                <a:solidFill>
                  <a:srgbClr val="00FF00"/>
                </a:solidFill>
                <a:prstDash val="solid"/>
              </a:ln>
            </c:spPr>
          </c:dPt>
          <c:dLbls>
            <c:dLbl>
              <c:idx val="0"/>
              <c:tx>
                <c:strRef>
                  <c:f>Performance!$C$44</c:f>
                  <c:strCache>
                    <c:ptCount val="1"/>
                    <c:pt idx="0">
                      <c:v>5</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{140EBFCB-6F5B-42CA-81A0-003E089455AD}</c15:txfldGUID>
                      <c15:f>Performance!$C$44</c15:f>
                      <c15:dlblFieldTableCache>
                        <c:ptCount val="1"/>
                        <c:pt idx="0">
                          <c:v>5</c:v>
                        </c:pt>
                      </c15:dlblFieldTableCache>
                    </c15:dlblFTEntry>
                  </c15:dlblFieldTable>
                  <c15:showDataLabelsRange val="0"/>
                </c:ext>
              </c:extLst>
            </c:dLbl>
            <c:dLbl>
              <c:idx val="1"/>
              <c:tx>
                <c:strRef>
                  <c:f>Performance!$D$44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{4B19F61D-49C0-45F3-A72F-7C8467E6EE7C}</c15:txfldGUID>
                      <c15:f>Performance!$D$44</c15:f>
                      <c15:dlblFieldTableCache>
                        <c:ptCount val="1"/>
                      </c15:dlblFieldTableCache>
                    </c15:dlblFTEntry>
                  </c15:dlblFieldTable>
                  <c15:showDataLabelsRange val="0"/>
                </c:ext>
              </c:extLst>
            </c:dLbl>
            <c:dLbl>
              <c:idx val="2"/>
              <c:tx>
                <c:strRef>
                  <c:f>Performance!$E$44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{A9DB02C3-1298-4788-AF5F-1D4344203CE3}</c15:txfldGUID>
                      <c15:f>Performance!$E$44</c15:f>
                      <c15:dlblFieldTableCache>
                        <c:ptCount val="1"/>
                      </c15:dlblFieldTableCache>
                    </c15:dlblFTEntry>
                  </c15:dlblFieldTable>
                  <c15:showDataLabelsRange val="0"/>
                </c:ext>
              </c:extLst>
            </c:dLbl>
            <c:dLbl>
              <c:idx val="3"/>
              <c:tx>
                <c:strRef>
                  <c:f>Performance!$F$44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{425EC9CB-D96B-4566-AF6E-CEEAD15B06E2}</c15:txfldGUID>
                      <c15:f>Performance!$F$44</c15:f>
                      <c15:dlblFieldTableCache>
                        <c:ptCount val="1"/>
                      </c15:dlblFieldTableCache>
                    </c15:dlblFTEntry>
                  </c15:dlblFieldTable>
                  <c15:showDataLabelsRange val="0"/>
                </c:ext>
              </c:extLst>
            </c:dLbl>
            <c:dLbl>
              <c:idx val="4"/>
              <c:tx>
                <c:strRef>
                  <c:f>Performance!$G$44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{DB0DC52C-5D57-4F78-AA38-31DB18930D14}</c15:txfldGUID>
                      <c15:f>Performance!$G$44</c15:f>
                      <c15:dlblFieldTableCache>
                        <c:ptCount val="1"/>
                      </c15:dlblFieldTableCache>
                    </c15:dlblFTEntry>
                  </c15:dlblFieldTable>
                  <c15:showDataLabelsRange val="0"/>
                </c:ext>
              </c:extLst>
            </c:dLbl>
            <c:dLbl>
              <c:idx val="5"/>
              <c:tx>
                <c:strRef>
                  <c:f>Performance!$H$44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{2CE6E077-FCAA-46A9-B54E-08510CEBDABB}</c15:txfldGUID>
                      <c15:f>Performance!$H$44</c15:f>
                      <c15:dlblFieldTableCache>
                        <c:ptCount val="1"/>
                      </c15:dlblFieldTableCache>
                    </c15:dlblFTEntry>
                  </c15:dlblFieldTable>
                  <c15:showDataLabelsRange val="0"/>
                </c:ext>
              </c:extLst>
            </c:dLbl>
            <c:dLbl>
              <c:idx val="6"/>
              <c:tx>
                <c:strRef>
                  <c:f>Performance!$I$44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{55FF9655-DAC6-4BE4-837B-F28ED1883C76}</c15:txfldGUID>
                      <c15:f>Performance!$I$44</c15:f>
                      <c15:dlblFieldTableCache>
                        <c:ptCount val="1"/>
                      </c15:dlblFieldTableCache>
                    </c15:dlblFTEntry>
                  </c15:dlblFieldTable>
                  <c15:showDataLabelsRange val="0"/>
                </c:ext>
              </c:extLst>
            </c:dLbl>
            <c:dLbl>
              <c:idx val="7"/>
              <c:tx>
                <c:strRef>
                  <c:f>Performance!$J$44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{85A4A90E-E4C7-4255-B437-0892FD1F743F}</c15:txfldGUID>
                      <c15:f>Performance!$J$44</c15:f>
                      <c15:dlblFieldTableCache>
                        <c:ptCount val="1"/>
                      </c15:dlblFieldTableCache>
                    </c15:dlblFTEntry>
                  </c15:dlblFieldTable>
                  <c15:showDataLabelsRange val="0"/>
                </c:ext>
              </c:extLst>
            </c:dLbl>
            <c:dLbl>
              <c:idx val="8"/>
              <c:tx>
                <c:strRef>
                  <c:f>Performance!$K$44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{2D4FA0D1-60D7-4203-A36D-22F3531A1051}</c15:txfldGUID>
                      <c15:f>Performance!$K$44</c15:f>
                      <c15:dlblFieldTableCache>
                        <c:ptCount val="1"/>
                      </c15:dlblFieldTableCache>
                    </c15:dlblFTEntry>
                  </c15:dlblFieldTable>
                  <c15:showDataLabelsRange val="0"/>
                </c:ext>
              </c:extLst>
            </c:dLbl>
            <c:dLbl>
              <c:idx val="9"/>
              <c:tx>
                <c:strRef>
                  <c:f>Performance!$L$44</c:f>
                  <c:strCache>
                    <c:ptCount val="1"/>
                    <c:pt idx="0">
                      <c:v>v</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{A45EF86E-3F8B-480F-A11C-483D97BB89AB}</c15:txfldGUID>
                      <c15:f>Performance!$L$44</c15:f>
                      <c15:dlblFieldTableCache>
                        <c:ptCount val="1"/>
                        <c:pt idx="0">
                          <c:v>v</c:v>
                        </c:pt>
                      </c15:dlblFieldTableCache>
                    </c15:dlblFTEntry>
                  </c15:dlblFieldTable>
                  <c15:showDataLabelsRange val="0"/>
                </c:ext>
              </c:extLst>
            </c:dLbl>
            <c:dLbl>
              <c:idx val="10"/>
              <c:tx>
                <c:strRef>
                  <c:f>Performance!$M$44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{B3A74F92-CECE-4BD9-9EC8-3138701A9D58}</c15:txfldGUID>
                      <c15:f>Performance!$M$44</c15:f>
                      <c15:dlblFieldTableCache>
                        <c:ptCount val="1"/>
                      </c15:dlblFieldTableCache>
                    </c15:dlblFTEntry>
                  </c15:dlblFieldTable>
                  <c15:showDataLabelsRange val="0"/>
                </c:ext>
              </c:extLst>
            </c:dLbl>
            <c:dLbl>
              <c:idx val="11"/>
              <c:tx>
                <c:strRef>
                  <c:f>Performance!$N$44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{90AF526A-58CC-435E-9544-BD6091013484}</c15:txfldGUID>
                      <c15:f>Performance!$N$44</c15:f>
                      <c15:dlblFieldTableCache>
                        <c:ptCount val="1"/>
                      </c15:dlblFieldTableCache>
                    </c15:dlblFTEntry>
                  </c15:dlblFieldTable>
                  <c15:showDataLabelsRange val="0"/>
                </c:ext>
              </c:extLst>
            </c:dLbl>
            <c:dLbl>
              <c:idx val="12"/>
              <c:tx>
                <c:strRef>
                  <c:f>Performance!$O$44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{1E34B743-3E3C-4792-BDC9-DBA03C17828A}</c15:txfldGUID>
                      <c15:f>Performance!$O$44</c15:f>
                      <c15:dlblFieldTableCache>
                        <c:ptCount val="1"/>
                      </c15:dlblFieldTableCache>
                    </c15:dlblFTEntry>
                  </c15:dlblFieldTable>
                  <c15:showDataLabelsRange val="0"/>
                </c:ext>
              </c:extLst>
            </c:dLbl>
            <c:dLbl>
              <c:idx val="13"/>
              <c:tx>
                <c:strRef>
                  <c:f>Performance!$P$44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{6EB140DD-688C-4903-9C86-7FCE84D0B33D}</c15:txfldGUID>
                      <c15:f>Performance!$P$44</c15:f>
                      <c15:dlblFieldTableCache>
                        <c:ptCount val="1"/>
                      </c15:dlblFieldTableCache>
                    </c15:dlblFTEntry>
                  </c15:dlblFieldTable>
                  <c15:showDataLabelsRange val="0"/>
                </c:ext>
              </c:extLst>
            </c:dLbl>
            <c:dLbl>
              <c:idx val="14"/>
              <c:tx>
                <c:strRef>
                  <c:f>Performance!$Q$44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{79542E63-A836-435F-9595-41663EF43FA3}</c15:txfldGUID>
                      <c15:f>Performance!$Q$44</c15:f>
                      <c15:dlblFieldTableCache>
                        <c:ptCount val="1"/>
                      </c15:dlblFieldTableCache>
                    </c15:dlblFTEntry>
                  </c15:dlblFieldTable>
                  <c15:showDataLabelsRange val="0"/>
                </c:ext>
              </c:extLst>
            </c:dLbl>
            <c:dLbl>
              <c:idx val="15"/>
              <c:tx>
                <c:strRef>
                  <c:f>Performance!$R$44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{92987DA6-45CB-4B91-9ED8-ED85B345DB6F}</c15:txfldGUID>
                      <c15:f>Performance!$R$44</c15:f>
                      <c15:dlblFieldTableCache>
                        <c:ptCount val="1"/>
                      </c15:dlblFieldTableCache>
                    </c15:dlblFTEntry>
                  </c15:dlblFieldTable>
                  <c15:showDataLabelsRange val="0"/>
                </c:ext>
              </c:extLst>
            </c:dLbl>
            <c:dLbl>
              <c:idx val="16"/>
              <c:tx>
                <c:strRef>
                  <c:f>Performance!$S$44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{EF897967-EBEB-4383-AC13-54A5C28EF752}</c15:txfldGUID>
                      <c15:f>Performance!$S$44</c15:f>
                      <c15:dlblFieldTableCache>
                        <c:ptCount val="1"/>
                      </c15:dlblFieldTableCache>
                    </c15:dlblFTEntry>
                  </c15:dlblFieldTable>
                  <c15:showDataLabelsRange val="0"/>
                </c:ext>
              </c:extLst>
            </c:dLbl>
            <c:dLbl>
              <c:idx val="17"/>
              <c:tx>
                <c:strRef>
                  <c:f>Performance!$T$44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{324D0582-0A3B-4429-9D23-99DF9CE58E85}</c15:txfldGUID>
                      <c15:f>Performance!$T$44</c15:f>
                      <c15:dlblFieldTableCache>
                        <c:ptCount val="1"/>
                      </c15:dlblFieldTableCache>
                    </c15:dlblFTEntry>
                  </c15:dlblFieldTable>
                  <c15:showDataLabelsRange val="0"/>
                </c:ext>
              </c:extLst>
            </c:dLbl>
            <c:dLbl>
              <c:idx val="18"/>
              <c:tx>
                <c:strRef>
                  <c:f>Performance!$U$44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{2DE5E68D-D70B-4E14-BCE5-9DFFD49400C2}</c15:txfldGUID>
                      <c15:f>Performance!$U$44</c15:f>
                      <c15:dlblFieldTableCache>
                        <c:ptCount val="1"/>
                      </c15:dlblFieldTableCache>
                    </c15:dlblFTEntry>
                  </c15:dlblFieldTable>
                  <c15:showDataLabelsRange val="0"/>
                </c:ext>
              </c:extLst>
            </c:dLbl>
            <c:dLbl>
              <c:idx val="19"/>
              <c:tx>
                <c:strRef>
                  <c:f>Performance!$V$44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{D16383E6-A323-461B-8C0C-33914F753E99}</c15:txfldGUID>
                      <c15:f>Performance!$V$44</c15:f>
                      <c15:dlblFieldTableCache>
                        <c:ptCount val="1"/>
                      </c15:dlblFieldTableCache>
                    </c15:dlblFTEntry>
                  </c15:dlblFieldTable>
                  <c15:showDataLabelsRange val="0"/>
                </c:ext>
              </c:extLst>
            </c:dLbl>
            <c:dLbl>
              <c:idx val="20"/>
              <c:tx>
                <c:strRef>
                  <c:f>Performance!$W$44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{154E506D-C4BA-41D8-ABE7-4A7563E9446E}</c15:txfldGUID>
                      <c15:f>Performance!$W$44</c15:f>
                      <c15:dlblFieldTableCache>
                        <c:ptCount val="1"/>
                      </c15:dlblFieldTableCache>
                    </c15:dlblFTEntry>
                  </c15:dlblFieldTable>
                  <c15:showDataLabelsRange val="0"/>
                </c:ext>
              </c:extLst>
            </c:dLbl>
            <c:dLbl>
              <c:idx val="21"/>
              <c:tx>
                <c:strRef>
                  <c:f>Performance!$X$44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{EAC07C5F-531A-481B-BD5D-3A9A825F7B41}</c15:txfldGUID>
                      <c15:f>Performance!$X$44</c15:f>
                      <c15:dlblFieldTableCache>
                        <c:ptCount val="1"/>
                      </c15:dlblFieldTableCache>
                    </c15:dlblFTEntry>
                  </c15:dlblFieldTable>
                  <c15:showDataLabelsRange val="0"/>
                </c:ext>
              </c:extLst>
            </c:dLbl>
            <c:dLbl>
              <c:idx val="22"/>
              <c:layout/>
              <c:tx>
                <c:strRef>
                  <c:f>Performance!#REF!</c:f>
                  <c:strCache>
                    <c:ptCount val="1"/>
                    <c:pt idx="0">
                      <c:v>#REF!</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{0CD1BCFD-6094-4F2B-948E-4EDEEC898C1A}</c15:txfldGUID>
                      <c15:f>Performance!#REF!</c15:f>
                      <c15:dlblFieldTableCache>
                        <c:ptCount val="1"/>
                        <c:pt idx="0">
                          <c:v>#REF!</c:v>
                        </c:pt>
                      </c15:dlblFieldTableCache>
                    </c15:dlblFTEntry>
                  </c15:dlblFieldTable>
                  <c15:showDataLabelsRange val="0"/>
                </c:ext>
              </c:extLst>
            </c:dLbl>
            <c:dLbl>
              <c:idx val="23"/>
              <c:layout/>
              <c:tx>
                <c:strRef>
                  <c:f>Performance!$Y$44</c:f>
                  <c:strCache>
                    <c:ptCount val="1"/>
                    <c:pt idx="0">
                      <c:v>Landing</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{0337E7E5-1C7B-482F-91AB-B39996E0D853}</c15:txfldGUID>
                      <c15:f>Performance!$Y$44</c15:f>
                      <c15:dlblFieldTableCache>
                        <c:ptCount val="1"/>
                        <c:pt idx="0">
                          <c:v>Landing</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Performance!$C$50:$Z$50</c:f>
              <c:numCache>
                <c:formatCode>General</c:formatCode>
                <c:ptCount val="24"/>
                <c:pt idx="22">
                  <c:v>0</c:v>
                </c:pt>
                <c:pt idx="23">
                  <c:v>4.2612301095745337</c:v>
                </c:pt>
              </c:numCache>
            </c:numRef>
          </c:yVal>
          <c:smooth val="0"/>
        </c:ser>
        <c:ser>
          <c:idx val="2"/>
          <c:order val="2"/>
          <c:spPr>
            <a:ln w="3175">
              <a:solidFill>
                <a:srgbClr val="00FFFF"/>
              </a:solidFill>
              <a:prstDash val="solid"/>
            </a:ln>
          </c:spPr>
          <c:marker>
            <c:symbol val="none"/>
          </c:marker>
          <c:dPt>
            <c:idx val="25"/>
            <c:bubble3D val="0"/>
            <c:spPr>
              <a:ln w="12700">
                <a:solidFill>
                  <a:srgbClr val="00FFFF"/>
                </a:solidFill>
                <a:prstDash val="solid"/>
              </a:ln>
            </c:spPr>
          </c:dPt>
          <c:dLbls>
            <c:dLbl>
              <c:idx val="0"/>
              <c:tx>
                <c:strRef>
                  <c:f>Performance!$C$43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{9B8CC981-F947-4D6E-970A-D1269A14C22A}</c15:txfldGUID>
                      <c15:f>Performance!$C$43</c15:f>
                      <c15:dlblFieldTableCache>
                        <c:ptCount val="1"/>
                      </c15:dlblFieldTableCache>
                    </c15:dlblFTEntry>
                  </c15:dlblFieldTable>
                  <c15:showDataLabelsRange val="0"/>
                </c:ext>
              </c:extLst>
            </c:dLbl>
            <c:dLbl>
              <c:idx val="1"/>
              <c:tx>
                <c:strRef>
                  <c:f>Performance!$D$43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{A2F43709-3A6E-40B4-A02E-CB21F4E9E845}</c15:txfldGUID>
                      <c15:f>Performance!$D$43</c15:f>
                      <c15:dlblFieldTableCache>
                        <c:ptCount val="1"/>
                      </c15:dlblFieldTableCache>
                    </c15:dlblFTEntry>
                  </c15:dlblFieldTable>
                  <c15:showDataLabelsRange val="0"/>
                </c:ext>
              </c:extLst>
            </c:dLbl>
            <c:dLbl>
              <c:idx val="2"/>
              <c:tx>
                <c:strRef>
                  <c:f>Performance!$E$43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{16E3A271-0540-478B-9F99-BA075781E34A}</c15:txfldGUID>
                      <c15:f>Performance!$E$43</c15:f>
                      <c15:dlblFieldTableCache>
                        <c:ptCount val="1"/>
                      </c15:dlblFieldTableCache>
                    </c15:dlblFTEntry>
                  </c15:dlblFieldTable>
                  <c15:showDataLabelsRange val="0"/>
                </c:ext>
              </c:extLst>
            </c:dLbl>
            <c:dLbl>
              <c:idx val="3"/>
              <c:tx>
                <c:strRef>
                  <c:f>Performance!$F$43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{8C48CE0B-A97D-40FD-A7A9-C844E1E06CD1}</c15:txfldGUID>
                      <c15:f>Performance!$F$43</c15:f>
                      <c15:dlblFieldTableCache>
                        <c:ptCount val="1"/>
                      </c15:dlblFieldTableCache>
                    </c15:dlblFTEntry>
                  </c15:dlblFieldTable>
                  <c15:showDataLabelsRange val="0"/>
                </c:ext>
              </c:extLst>
            </c:dLbl>
            <c:dLbl>
              <c:idx val="4"/>
              <c:tx>
                <c:strRef>
                  <c:f>Performance!$G$43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{3AEC537F-3629-4646-B687-2CF2D6E9B10B}</c15:txfldGUID>
                      <c15:f>Performance!$G$43</c15:f>
                      <c15:dlblFieldTableCache>
                        <c:ptCount val="1"/>
                      </c15:dlblFieldTableCache>
                    </c15:dlblFTEntry>
                  </c15:dlblFieldTable>
                  <c15:showDataLabelsRange val="0"/>
                </c:ext>
              </c:extLst>
            </c:dLbl>
            <c:dLbl>
              <c:idx val="5"/>
              <c:tx>
                <c:strRef>
                  <c:f>Performance!$H$43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{E865ED09-117B-430D-B551-A6487A5D87E3}</c15:txfldGUID>
                      <c15:f>Performance!$H$43</c15:f>
                      <c15:dlblFieldTableCache>
                        <c:ptCount val="1"/>
                      </c15:dlblFieldTableCache>
                    </c15:dlblFTEntry>
                  </c15:dlblFieldTable>
                  <c15:showDataLabelsRange val="0"/>
                </c:ext>
              </c:extLst>
            </c:dLbl>
            <c:dLbl>
              <c:idx val="6"/>
              <c:tx>
                <c:strRef>
                  <c:f>Performance!$I$43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{756DA2C4-04CA-468B-B478-86A1A1275F2C}</c15:txfldGUID>
                      <c15:f>Performance!$I$43</c15:f>
                      <c15:dlblFieldTableCache>
                        <c:ptCount val="1"/>
                      </c15:dlblFieldTableCache>
                    </c15:dlblFTEntry>
                  </c15:dlblFieldTable>
                  <c15:showDataLabelsRange val="0"/>
                </c:ext>
              </c:extLst>
            </c:dLbl>
            <c:dLbl>
              <c:idx val="7"/>
              <c:tx>
                <c:strRef>
                  <c:f>Performance!$J$43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{FDC84FEB-B653-45E1-B351-FA2F68904CBB}</c15:txfldGUID>
                      <c15:f>Performance!$J$43</c15:f>
                      <c15:dlblFieldTableCache>
                        <c:ptCount val="1"/>
                      </c15:dlblFieldTableCache>
                    </c15:dlblFTEntry>
                  </c15:dlblFieldTable>
                  <c15:showDataLabelsRange val="0"/>
                </c:ext>
              </c:extLst>
            </c:dLbl>
            <c:dLbl>
              <c:idx val="8"/>
              <c:tx>
                <c:strRef>
                  <c:f>Performance!$K$43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{6869F6AC-FA9C-46CF-8C4D-6A8398148C81}</c15:txfldGUID>
                      <c15:f>Performance!$K$43</c15:f>
                      <c15:dlblFieldTableCache>
                        <c:ptCount val="1"/>
                      </c15:dlblFieldTableCache>
                    </c15:dlblFTEntry>
                  </c15:dlblFieldTable>
                  <c15:showDataLabelsRange val="0"/>
                </c:ext>
              </c:extLst>
            </c:dLbl>
            <c:dLbl>
              <c:idx val="9"/>
              <c:tx>
                <c:strRef>
                  <c:f>Performance!$L$43</c:f>
                  <c:strCache>
                    <c:ptCount val="1"/>
                    <c:pt idx="0">
                      <c:v>guess</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{C74A646F-9894-4E79-AFC9-467C8813AEB9}</c15:txfldGUID>
                      <c15:f>Performance!$L$43</c15:f>
                      <c15:dlblFieldTableCache>
                        <c:ptCount val="1"/>
                        <c:pt idx="0">
                          <c:v>guess</c:v>
                        </c:pt>
                      </c15:dlblFieldTableCache>
                    </c15:dlblFTEntry>
                  </c15:dlblFieldTable>
                  <c15:showDataLabelsRange val="0"/>
                </c:ext>
              </c:extLst>
            </c:dLbl>
            <c:dLbl>
              <c:idx val="10"/>
              <c:tx>
                <c:strRef>
                  <c:f>Performance!$M$43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{8BE672F7-2DF0-4625-BCEE-7912E590908B}</c15:txfldGUID>
                      <c15:f>Performance!$M$43</c15:f>
                      <c15:dlblFieldTableCache>
                        <c:ptCount val="1"/>
                      </c15:dlblFieldTableCache>
                    </c15:dlblFTEntry>
                  </c15:dlblFieldTable>
                  <c15:showDataLabelsRange val="0"/>
                </c:ext>
              </c:extLst>
            </c:dLbl>
            <c:dLbl>
              <c:idx val="11"/>
              <c:tx>
                <c:strRef>
                  <c:f>Performance!$N$43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{CB8E4FC3-CAA0-4245-8779-40160D91D578}</c15:txfldGUID>
                      <c15:f>Performance!$N$43</c15:f>
                      <c15:dlblFieldTableCache>
                        <c:ptCount val="1"/>
                      </c15:dlblFieldTableCache>
                    </c15:dlblFTEntry>
                  </c15:dlblFieldTable>
                  <c15:showDataLabelsRange val="0"/>
                </c:ext>
              </c:extLst>
            </c:dLbl>
            <c:dLbl>
              <c:idx val="12"/>
              <c:tx>
                <c:strRef>
                  <c:f>Performance!$O$43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{0FF7DD6E-454E-4379-949D-2AE7200C0496}</c15:txfldGUID>
                      <c15:f>Performance!$O$43</c15:f>
                      <c15:dlblFieldTableCache>
                        <c:ptCount val="1"/>
                      </c15:dlblFieldTableCache>
                    </c15:dlblFTEntry>
                  </c15:dlblFieldTable>
                  <c15:showDataLabelsRange val="0"/>
                </c:ext>
              </c:extLst>
            </c:dLbl>
            <c:dLbl>
              <c:idx val="13"/>
              <c:tx>
                <c:strRef>
                  <c:f>Performance!$P$43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{E0EFFEB4-DAE6-411C-B00E-889EDF877055}</c15:txfldGUID>
                      <c15:f>Performance!$P$43</c15:f>
                      <c15:dlblFieldTableCache>
                        <c:ptCount val="1"/>
                      </c15:dlblFieldTableCache>
                    </c15:dlblFTEntry>
                  </c15:dlblFieldTable>
                  <c15:showDataLabelsRange val="0"/>
                </c:ext>
              </c:extLst>
            </c:dLbl>
            <c:dLbl>
              <c:idx val="14"/>
              <c:tx>
                <c:strRef>
                  <c:f>Performance!$Q$43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{E89A7C03-E196-427F-A124-44BDECF5A715}</c15:txfldGUID>
                      <c15:f>Performance!$Q$43</c15:f>
                      <c15:dlblFieldTableCache>
                        <c:ptCount val="1"/>
                      </c15:dlblFieldTableCache>
                    </c15:dlblFTEntry>
                  </c15:dlblFieldTable>
                  <c15:showDataLabelsRange val="0"/>
                </c:ext>
              </c:extLst>
            </c:dLbl>
            <c:dLbl>
              <c:idx val="15"/>
              <c:tx>
                <c:strRef>
                  <c:f>Performance!$R$43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{BEB26708-0AE3-46E3-BFF8-9C8C844F1932}</c15:txfldGUID>
                      <c15:f>Performance!$R$43</c15:f>
                      <c15:dlblFieldTableCache>
                        <c:ptCount val="1"/>
                      </c15:dlblFieldTableCache>
                    </c15:dlblFTEntry>
                  </c15:dlblFieldTable>
                  <c15:showDataLabelsRange val="0"/>
                </c:ext>
              </c:extLst>
            </c:dLbl>
            <c:dLbl>
              <c:idx val="16"/>
              <c:tx>
                <c:strRef>
                  <c:f>Performance!$S$43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{0AFA1ABD-6EE1-4454-A6A7-9CA47ED9DD02}</c15:txfldGUID>
                      <c15:f>Performance!$S$43</c15:f>
                      <c15:dlblFieldTableCache>
                        <c:ptCount val="1"/>
                      </c15:dlblFieldTableCache>
                    </c15:dlblFTEntry>
                  </c15:dlblFieldTable>
                  <c15:showDataLabelsRange val="0"/>
                </c:ext>
              </c:extLst>
            </c:dLbl>
            <c:dLbl>
              <c:idx val="17"/>
              <c:tx>
                <c:strRef>
                  <c:f>Performance!$T$43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{E43E31AD-4DCF-4E43-8418-5FBC0CE5CF78}</c15:txfldGUID>
                      <c15:f>Performance!$T$43</c15:f>
                      <c15:dlblFieldTableCache>
                        <c:ptCount val="1"/>
                      </c15:dlblFieldTableCache>
                    </c15:dlblFTEntry>
                  </c15:dlblFieldTable>
                  <c15:showDataLabelsRange val="0"/>
                </c:ext>
              </c:extLst>
            </c:dLbl>
            <c:dLbl>
              <c:idx val="18"/>
              <c:tx>
                <c:strRef>
                  <c:f>Performance!$U$43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{30932978-2232-4628-8E88-4F4A6BFBDD05}</c15:txfldGUID>
                      <c15:f>Performance!$U$43</c15:f>
                      <c15:dlblFieldTableCache>
                        <c:ptCount val="1"/>
                      </c15:dlblFieldTableCache>
                    </c15:dlblFTEntry>
                  </c15:dlblFieldTable>
                  <c15:showDataLabelsRange val="0"/>
                </c:ext>
              </c:extLst>
            </c:dLbl>
            <c:dLbl>
              <c:idx val="19"/>
              <c:tx>
                <c:strRef>
                  <c:f>Performance!$V$43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{C10E99A7-5291-4468-A4FD-E7521F6885D3}</c15:txfldGUID>
                      <c15:f>Performance!$V$43</c15:f>
                      <c15:dlblFieldTableCache>
                        <c:ptCount val="1"/>
                      </c15:dlblFieldTableCache>
                    </c15:dlblFTEntry>
                  </c15:dlblFieldTable>
                  <c15:showDataLabelsRange val="0"/>
                </c:ext>
              </c:extLst>
            </c:dLbl>
            <c:dLbl>
              <c:idx val="20"/>
              <c:tx>
                <c:strRef>
                  <c:f>Performance!$W$43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{943F5097-E762-4B1D-B1C4-A50641603252}</c15:txfldGUID>
                      <c15:f>Performance!$W$43</c15:f>
                      <c15:dlblFieldTableCache>
                        <c:ptCount val="1"/>
                      </c15:dlblFieldTableCache>
                    </c15:dlblFTEntry>
                  </c15:dlblFieldTable>
                  <c15:showDataLabelsRange val="0"/>
                </c:ext>
              </c:extLst>
            </c:dLbl>
            <c:dLbl>
              <c:idx val="21"/>
              <c:tx>
                <c:strRef>
                  <c:f>Performance!$X$43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{29934E4B-BB72-49E5-97A8-AA29E7D4A18B}</c15:txfldGUID>
                      <c15:f>Performance!$X$43</c15:f>
                      <c15:dlblFieldTableCache>
                        <c:ptCount val="1"/>
                      </c15:dlblFieldTableCache>
                    </c15:dlblFTEntry>
                  </c15:dlblFieldTable>
                  <c15:showDataLabelsRange val="0"/>
                </c:ext>
              </c:extLst>
            </c:dLbl>
            <c:dLbl>
              <c:idx val="22"/>
              <c:tx>
                <c:strRef>
                  <c:f>Performance!$Y$43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{E2F84BE1-44A6-4DBA-8FD6-B8FE96712DAC}</c15:txfldGUID>
                      <c15:f>Performance!$Y$43</c15:f>
                      <c15:dlblFieldTableCache>
                        <c:ptCount val="1"/>
                      </c15:dlblFieldTableCache>
                    </c15:dlblFTEntry>
                  </c15:dlblFieldTable>
                  <c15:showDataLabelsRange val="0"/>
                </c:ext>
              </c:extLst>
            </c:dLbl>
            <c:dLbl>
              <c:idx val="23"/>
              <c:tx>
                <c:strRef>
                  <c:f>Performance!$Z$43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{80023658-5EC3-44AE-8067-529BA085E670}</c15:txfldGUID>
                      <c15:f>Performance!$Z$43</c15:f>
                      <c15:dlblFieldTableCache>
                        <c:ptCount val="1"/>
                      </c15:dlblFieldTableCache>
                    </c15:dlblFTEntry>
                  </c15:dlblFieldTable>
                  <c15:showDataLabelsRange val="0"/>
                </c:ext>
              </c:extLst>
            </c:dLbl>
            <c:dLbl>
              <c:idx val="24"/>
              <c:layout/>
              <c:tx>
                <c:strRef>
                  <c:f>Performance!$AA$43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{CCA4426B-45B4-42E2-9A3D-28647BC7CE76}</c15:txfldGUID>
                      <c15:f>Performance!$AA$43</c15:f>
                      <c15:dlblFieldTableCache>
                        <c:ptCount val="1"/>
                      </c15:dlblFieldTableCache>
                    </c15:dlblFTEntry>
                  </c15:dlblFieldTable>
                  <c15:showDataLabelsRange val="0"/>
                </c:ext>
              </c:extLst>
            </c:dLbl>
            <c:dLbl>
              <c:idx val="25"/>
              <c:layout/>
              <c:tx>
                <c:strRef>
                  <c:f>Performance!$AB$43</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{AD8CCA69-AFA8-4E07-8607-D0BE6037D356}</c15:txfldGUID>
                      <c15:f>Performance!$AB$43</c15:f>
                      <c15:dlblFieldTableCache>
                        <c:ptCount val="1"/>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Performance!$C$57:$AB$57</c:f>
              <c:numCache>
                <c:formatCode>General</c:formatCode>
                <c:ptCount val="26"/>
                <c:pt idx="24">
                  <c:v>0</c:v>
                </c:pt>
                <c:pt idx="25">
                  <c:v>4.2612301095745337</c:v>
                </c:pt>
              </c:numCache>
            </c:numRef>
          </c:yVal>
          <c:smooth val="0"/>
        </c:ser>
        <c:ser>
          <c:idx val="3"/>
          <c:order val="3"/>
          <c:spPr>
            <a:ln w="12700">
              <a:solidFill>
                <a:srgbClr val="FF0000"/>
              </a:solidFill>
              <a:prstDash val="solid"/>
            </a:ln>
          </c:spPr>
          <c:marker>
            <c:symbol val="none"/>
          </c:marker>
          <c:dLbls>
            <c:dLbl>
              <c:idx val="0"/>
              <c:tx>
                <c:strRef>
                  <c:f>Performance!$A$76</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{6D25BD8C-AFD2-462A-AB78-D9C2AA88B5A3}</c15:txfldGUID>
                      <c15:f>Performance!$A$76</c15:f>
                      <c15:dlblFieldTableCache>
                        <c:ptCount val="1"/>
                      </c15:dlblFieldTableCache>
                    </c15:dlblFTEntry>
                  </c15:dlblFieldTable>
                  <c15:showDataLabelsRange val="1"/>
                </c:ext>
              </c:extLst>
            </c:dLbl>
            <c:dLbl>
              <c:idx val="1"/>
              <c:layout/>
              <c:tx>
                <c:rich>
                  <a:bodyPr/>
                  <a:lstStyle/>
                  <a:p>
                    <a:pPr>
                      <a:defRPr sz="1000" b="0" i="0" u="none" strike="noStrike" baseline="0">
                        <a:solidFill>
                          <a:srgbClr val="000000"/>
                        </a:solidFill>
                        <a:latin typeface="Arial"/>
                        <a:ea typeface="Arial"/>
                        <a:cs typeface="Arial"/>
                      </a:defRPr>
                    </a:pPr>
                    <a:fld id="{66B22D53-68D9-48E9-A5C2-74171C86FAE2}"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pPr>
                      <a:defRPr sz="1000" b="0" i="0" u="none" strike="noStrike" baseline="0">
                        <a:solidFill>
                          <a:srgbClr val="000000"/>
                        </a:solidFill>
                        <a:latin typeface="Arial"/>
                        <a:ea typeface="Arial"/>
                        <a:cs typeface="Arial"/>
                      </a:defRPr>
                    </a:pPr>
                    <a:fld id="{34AD4E88-894E-4AB5-AEF4-3B27DF6C0FF0}"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tx>
                <c:strRef>
                  <c:f>Performance!$L$76</c:f>
                  <c:strCache>
                    <c:ptCount val="1"/>
                    <c:pt idx="0">
                      <c:v>SEP @1g [ft/sec]</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{4CC088FD-82B3-46F7-A4D2-8D52926A47D7}</c15:txfldGUID>
                      <c15:f>Performance!$L$76</c15:f>
                      <c15:dlblFieldTableCache>
                        <c:ptCount val="1"/>
                        <c:pt idx="0">
                          <c:v>SEP @1g [ft/sec]</c:v>
                        </c:pt>
                      </c15:dlblFieldTableCache>
                    </c15:dlblFTEntry>
                  </c15:dlblFieldTable>
                  <c15:showDataLabelsRange val="1"/>
                </c:ext>
              </c:extLst>
            </c:dLbl>
            <c:dLbl>
              <c:idx val="4"/>
              <c:layout/>
              <c:tx>
                <c:rich>
                  <a:bodyPr/>
                  <a:lstStyle/>
                  <a:p>
                    <a:fld id="{F9D7C343-CE1E-4EEB-83C5-CB0D4E9EE89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71F699A3-A58F-4557-8E2D-0469686DB2E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32B7E41A-7FB1-46B2-8093-DBA39DDD4DE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3F091DCA-0DED-444A-8820-04CB22AC713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5F6D7E96-A8AD-493D-A95B-606CF328506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F92F50D7-54F3-443D-8C1C-0BAAF6D9F3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D0647CD8-F894-4A87-BF13-D352C74C8E4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E1DB4524-E36E-4644-9642-DB749F21ED3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Performance!$C$58:$X$58</c:f>
              <c:numCache>
                <c:formatCode>General</c:formatCode>
                <c:ptCount val="22"/>
                <c:pt idx="0">
                  <c:v>4.2612301095745337</c:v>
                </c:pt>
                <c:pt idx="1">
                  <c:v>3.280758491072997</c:v>
                </c:pt>
                <c:pt idx="2">
                  <c:v>2.6938940011474251</c:v>
                </c:pt>
                <c:pt idx="3">
                  <c:v>2.3038330755098348</c:v>
                </c:pt>
                <c:pt idx="4">
                  <c:v>2.0262313294653773</c:v>
                </c:pt>
                <c:pt idx="5">
                  <c:v>1.8189165706666279</c:v>
                </c:pt>
                <c:pt idx="6">
                  <c:v>1.6584598033650169</c:v>
                </c:pt>
                <c:pt idx="7">
                  <c:v>1.530803630111403</c:v>
                </c:pt>
                <c:pt idx="8">
                  <c:v>1.4270024343472414</c:v>
                </c:pt>
                <c:pt idx="9">
                  <c:v>1.3410924717001691</c:v>
                </c:pt>
                <c:pt idx="10">
                  <c:v>1.2689449960662424</c:v>
                </c:pt>
                <c:pt idx="11">
                  <c:v>1.2076109030855018</c:v>
                </c:pt>
                <c:pt idx="12">
                  <c:v>1.1549275162273094</c:v>
                </c:pt>
                <c:pt idx="13">
                  <c:v>1.1092728280936883</c:v>
                </c:pt>
                <c:pt idx="14">
                  <c:v>1.069406480086184</c:v>
                </c:pt>
                <c:pt idx="15">
                  <c:v>1.0343637488504442</c:v>
                </c:pt>
                <c:pt idx="16">
                  <c:v>1.0033830106856636</c:v>
                </c:pt>
                <c:pt idx="17">
                  <c:v>0.97585496663119831</c:v>
                </c:pt>
                <c:pt idx="18">
                  <c:v>0.95128637467128929</c:v>
                </c:pt>
                <c:pt idx="19">
                  <c:v>0.92927367315667886</c:v>
                </c:pt>
                <c:pt idx="20">
                  <c:v>0.90948348507276267</c:v>
                </c:pt>
                <c:pt idx="21">
                  <c:v>0.89163799624070406</c:v>
                </c:pt>
              </c:numCache>
            </c:numRef>
          </c:yVal>
          <c:smooth val="0"/>
          <c:extLst>
            <c:ext xmlns:c15="http://schemas.microsoft.com/office/drawing/2012/chart" uri="{02D57815-91ED-43cb-92C2-25804820EDAC}">
              <c15:datalabelsRange>
                <c15:f>Performance!$C$76:$N$76</c15:f>
                <c15:dlblRangeCache>
                  <c:ptCount val="12"/>
                  <c:pt idx="9">
                    <c:v>SEP @1g [ft/sec]</c:v>
                  </c:pt>
                </c15:dlblRangeCache>
              </c15:datalabelsRange>
            </c:ext>
          </c:extLst>
        </c:ser>
        <c:ser>
          <c:idx val="4"/>
          <c:order val="4"/>
          <c:spPr>
            <a:ln w="3175">
              <a:solidFill>
                <a:srgbClr val="FF00FF"/>
              </a:solidFill>
              <a:prstDash val="solid"/>
            </a:ln>
          </c:spPr>
          <c:marker>
            <c:symbol val="none"/>
          </c:marker>
          <c:dLbls>
            <c:dLbl>
              <c:idx val="0"/>
              <c:tx>
                <c:strRef>
                  <c:f>Performance!$A$77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{E36E32A5-BD43-4EFE-A3A2-568AC2545C24}</c15:txfldGUID>
                      <c15:f>Performance!$A$77</c15:f>
                      <c15:dlblFieldTableCache>
                        <c:ptCount val="1"/>
                      </c15:dlblFieldTableCache>
                    </c15:dlblFTEntry>
                  </c15:dlblFieldTable>
                  <c15:showDataLabelsRange val="1"/>
                </c:ext>
              </c:extLst>
            </c:dLbl>
            <c:dLbl>
              <c:idx val="1"/>
              <c:layout/>
              <c:tx>
                <c:rich>
                  <a:bodyPr/>
                  <a:lstStyle/>
                  <a:p>
                    <a:pPr>
                      <a:defRPr sz="1000" b="0" i="0" u="none" strike="noStrike" baseline="0">
                        <a:solidFill>
                          <a:srgbClr val="000000"/>
                        </a:solidFill>
                        <a:latin typeface="Arial"/>
                        <a:ea typeface="Arial"/>
                        <a:cs typeface="Arial"/>
                      </a:defRPr>
                    </a:pPr>
                    <a:fld id="{323B7AB2-C825-499E-A12A-791631D26A19}"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pPr>
                      <a:defRPr sz="1000" b="0" i="0" u="none" strike="noStrike" baseline="0">
                        <a:solidFill>
                          <a:srgbClr val="000000"/>
                        </a:solidFill>
                        <a:latin typeface="Arial"/>
                        <a:ea typeface="Arial"/>
                        <a:cs typeface="Arial"/>
                      </a:defRPr>
                    </a:pPr>
                    <a:fld id="{032707D0-1471-48F7-AA6B-31DB0069CE30}"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tx>
                <c:strRef>
                  <c:f>Performance!$V$77</c:f>
                  <c:strCache>
                    <c:ptCount val="1"/>
                    <c:pt idx="0">
                      <c:v>SEP @5g [ft/sec]</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{C92DA0DC-DE06-440F-9FAB-D347F5430F1A}</c15:txfldGUID>
                      <c15:f>Performance!$V$77</c15:f>
                      <c15:dlblFieldTableCache>
                        <c:ptCount val="1"/>
                        <c:pt idx="0">
                          <c:v>SEP @5g [ft/sec]</c:v>
                        </c:pt>
                      </c15:dlblFieldTableCache>
                    </c15:dlblFTEntry>
                  </c15:dlblFieldTable>
                  <c15:showDataLabelsRange val="1"/>
                </c:ext>
              </c:extLst>
            </c:dLbl>
            <c:dLbl>
              <c:idx val="4"/>
              <c:layout/>
              <c:tx>
                <c:rich>
                  <a:bodyPr/>
                  <a:lstStyle/>
                  <a:p>
                    <a:fld id="{C975C141-F3F5-4300-A70C-7D7FFDA7135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B633DD40-E4A5-4C71-B13C-D66343F6D1F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43647824-8030-4E14-8120-EC9130750EE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69EDEA19-40D1-4DF2-911F-07FDB5168CD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303CA6C0-96CE-49EC-9DDE-31A48E6A9F8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CFF403CC-0343-4986-B3E9-EB408E16B06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2"/>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Performance!$C$59:$X$59</c:f>
              <c:numCache>
                <c:formatCode>General</c:formatCode>
                <c:ptCount val="22"/>
                <c:pt idx="0">
                  <c:v>4.1841918020551079</c:v>
                </c:pt>
                <c:pt idx="1">
                  <c:v>3.2788203963612901</c:v>
                </c:pt>
                <c:pt idx="2">
                  <c:v>2.7569510088493274</c:v>
                </c:pt>
                <c:pt idx="3">
                  <c:v>2.426832630428291</c:v>
                </c:pt>
                <c:pt idx="4">
                  <c:v>2.2062862572020716</c:v>
                </c:pt>
                <c:pt idx="5">
                  <c:v>2.0542223872226111</c:v>
                </c:pt>
                <c:pt idx="6">
                  <c:v>1.9478135194076578</c:v>
                </c:pt>
                <c:pt idx="7">
                  <c:v>1.8733631531078592</c:v>
                </c:pt>
                <c:pt idx="8">
                  <c:v>1.8221553333645359</c:v>
                </c:pt>
                <c:pt idx="9">
                  <c:v>1.7883794235385704</c:v>
                </c:pt>
                <c:pt idx="10">
                  <c:v>1.7680126751874952</c:v>
                </c:pt>
                <c:pt idx="11">
                  <c:v>1.7581816965666903</c:v>
                </c:pt>
                <c:pt idx="12">
                  <c:v>1.7567793337301012</c:v>
                </c:pt>
                <c:pt idx="13">
                  <c:v>1.7622252212181886</c:v>
                </c:pt>
                <c:pt idx="14">
                  <c:v>1.7733108442677743</c:v>
                </c:pt>
                <c:pt idx="15">
                  <c:v>1.7890962469519414</c:v>
                </c:pt>
                <c:pt idx="16">
                  <c:v>1.8088393588020717</c:v>
                </c:pt>
                <c:pt idx="17">
                  <c:v>1.8319465234432712</c:v>
                </c:pt>
                <c:pt idx="18">
                  <c:v>1.8579371619053864</c:v>
                </c:pt>
                <c:pt idx="19">
                  <c:v>1.8864180732128388</c:v>
                </c:pt>
                <c:pt idx="20">
                  <c:v>1.9170644391684108</c:v>
                </c:pt>
                <c:pt idx="21">
                  <c:v>1.9496055779410852</c:v>
                </c:pt>
              </c:numCache>
            </c:numRef>
          </c:yVal>
          <c:smooth val="0"/>
          <c:extLst>
            <c:ext xmlns:c15="http://schemas.microsoft.com/office/drawing/2012/chart" uri="{02D57815-91ED-43cb-92C2-25804820EDAC}">
              <c15:datalabelsRange>
                <c15:f>Performance!$C$81:$L$81</c15:f>
                <c15:dlblRangeCache>
                  <c:ptCount val="10"/>
                  <c:pt idx="9">
                    <c:v>Sustained load factor [g]</c:v>
                  </c:pt>
                </c15:dlblRangeCache>
              </c15:datalabelsRange>
            </c:ext>
          </c:extLst>
        </c:ser>
        <c:ser>
          <c:idx val="5"/>
          <c:order val="5"/>
          <c:spPr>
            <a:ln w="12700">
              <a:solidFill>
                <a:schemeClr val="accent6">
                  <a:lumMod val="50000"/>
                </a:schemeClr>
              </a:solidFill>
              <a:prstDash val="solid"/>
            </a:ln>
          </c:spPr>
          <c:marker>
            <c:symbol val="none"/>
          </c:marker>
          <c:dLbls>
            <c:dLbl>
              <c:idx val="0"/>
              <c:tx>
                <c:strRef>
                  <c:f>Performance!$A$78</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{D0655597-2E18-4B06-9455-DCDB2AA766FD}</c15:txfldGUID>
                      <c15:f>Performance!$A$78</c15:f>
                      <c15:dlblFieldTableCache>
                        <c:ptCount val="1"/>
                      </c15:dlblFieldTableCache>
                    </c15:dlblFTEntry>
                  </c15:dlblFieldTable>
                  <c15:showDataLabelsRange val="1"/>
                </c:ext>
              </c:extLst>
            </c:dLbl>
            <c:dLbl>
              <c:idx val="1"/>
              <c:layout/>
              <c:tx>
                <c:rich>
                  <a:bodyPr/>
                  <a:lstStyle/>
                  <a:p>
                    <a:pPr>
                      <a:defRPr sz="1000" b="0" i="0" u="none" strike="noStrike" baseline="0">
                        <a:solidFill>
                          <a:srgbClr val="000000"/>
                        </a:solidFill>
                        <a:latin typeface="Arial"/>
                        <a:ea typeface="Arial"/>
                        <a:cs typeface="Arial"/>
                      </a:defRPr>
                    </a:pPr>
                    <a:fld id="{5DD68704-1575-4050-8083-13F371AAD1ED}"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pPr>
                      <a:defRPr sz="1000" b="0" i="0" u="none" strike="noStrike" baseline="0">
                        <a:solidFill>
                          <a:srgbClr val="000000"/>
                        </a:solidFill>
                        <a:latin typeface="Arial"/>
                        <a:ea typeface="Arial"/>
                        <a:cs typeface="Arial"/>
                      </a:defRPr>
                    </a:pPr>
                    <a:fld id="{F2B64EC2-C5A4-4CD7-A9A5-81A57D533B2A}"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pPr>
                      <a:defRPr sz="1000" b="0" i="0" u="none" strike="noStrike" baseline="0">
                        <a:solidFill>
                          <a:srgbClr val="000000"/>
                        </a:solidFill>
                        <a:latin typeface="Arial"/>
                        <a:ea typeface="Arial"/>
                        <a:cs typeface="Arial"/>
                      </a:defRPr>
                    </a:pPr>
                    <a:fld id="{3597DAF2-13B7-4E76-80C3-DEA67181753F}"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pPr>
                      <a:defRPr sz="1000" b="0" i="0" u="none" strike="noStrike" baseline="0">
                        <a:solidFill>
                          <a:srgbClr val="000000"/>
                        </a:solidFill>
                        <a:latin typeface="Arial"/>
                        <a:ea typeface="Arial"/>
                        <a:cs typeface="Arial"/>
                      </a:defRPr>
                    </a:pPr>
                    <a:fld id="{8DCA299A-7749-4391-8629-9E3E7A762452}"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tx>
                <c:strRef>
                  <c:f>Performance!#REF!</c:f>
                  <c:strCache>
                    <c:ptCount val="1"/>
                    <c:pt idx="0">
                      <c:v>#REF!</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{4E18162C-A94D-4712-95D5-AEA062284DA2}</c15:txfldGUID>
                      <c15:f>Performance!#REF!</c15:f>
                      <c15:dlblFieldTableCache>
                        <c:ptCount val="1"/>
                        <c:pt idx="0">
                          <c:v>#REF!</c:v>
                        </c:pt>
                      </c15:dlblFieldTableCache>
                    </c15:dlblFTEntry>
                  </c15:dlblFieldTable>
                  <c15:showDataLabelsRange val="1"/>
                </c:ext>
              </c:extLst>
            </c:dLbl>
            <c:dLbl>
              <c:idx val="6"/>
              <c:layout/>
              <c:tx>
                <c:rich>
                  <a:bodyPr/>
                  <a:lstStyle/>
                  <a:p>
                    <a:pPr>
                      <a:defRPr sz="1000" b="0" i="0" u="none" strike="noStrike" baseline="0">
                        <a:solidFill>
                          <a:srgbClr val="000000"/>
                        </a:solidFill>
                        <a:latin typeface="Arial"/>
                        <a:ea typeface="Arial"/>
                        <a:cs typeface="Arial"/>
                      </a:defRPr>
                    </a:pPr>
                    <a:fld id="{5E2B4ACA-E7A8-4A70-9C85-35634B47D091}"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pPr>
                      <a:defRPr sz="1000" b="0" i="0" u="none" strike="noStrike" baseline="0">
                        <a:solidFill>
                          <a:srgbClr val="000000"/>
                        </a:solidFill>
                        <a:latin typeface="Arial"/>
                        <a:ea typeface="Arial"/>
                        <a:cs typeface="Arial"/>
                      </a:defRPr>
                    </a:pPr>
                    <a:fld id="{B1459266-DF84-4E81-8DE5-519663DFAC73}"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pPr>
                      <a:defRPr sz="1000" b="0" i="0" u="none" strike="noStrike" baseline="0">
                        <a:solidFill>
                          <a:srgbClr val="000000"/>
                        </a:solidFill>
                        <a:latin typeface="Arial"/>
                        <a:ea typeface="Arial"/>
                        <a:cs typeface="Arial"/>
                      </a:defRPr>
                    </a:pPr>
                    <a:fld id="{B2A48F3F-0407-4AC2-BA10-8AB723427D9E}"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strRef>
                  <c:f>Performance!$F$78</c:f>
                  <c:strCache>
                    <c:ptCount val="1"/>
                    <c:pt idx="0">
                      <c:v>Cruise Mach req'm't</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{6137F537-11BF-44C1-82C2-3B9181DCF877}</c15:txfldGUID>
                      <c15:f>Performance!$F$78</c15:f>
                      <c15:dlblFieldTableCache>
                        <c:ptCount val="1"/>
                        <c:pt idx="0">
                          <c:v>Cruise Mach req'm't</c:v>
                        </c:pt>
                      </c15:dlblFieldTableCache>
                    </c15:dlblFTEntry>
                  </c15:dlblFieldTable>
                  <c15:showDataLabelsRange val="1"/>
                </c:ext>
              </c:extLst>
            </c:dLbl>
            <c:dLbl>
              <c:idx val="10"/>
              <c:layout/>
              <c:tx>
                <c:rich>
                  <a:bodyPr/>
                  <a:lstStyle/>
                  <a:p>
                    <a:fld id="{FBA221B7-7A20-4F47-9E14-C8C5746C5EA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67C0D295-4701-4FC3-97AA-043DA757ED7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230A7377-53FA-40EF-BA7D-CF638C12F05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2A821FDF-026C-47B1-BA9A-CE7436CF891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4"/>
              <c:layout/>
              <c:tx>
                <c:rich>
                  <a:bodyPr/>
                  <a:lstStyle/>
                  <a:p>
                    <a:fld id="{5053249D-5FC2-4187-9F8B-8D8189CFD79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5"/>
              <c:layout/>
              <c:tx>
                <c:rich>
                  <a:bodyPr/>
                  <a:lstStyle/>
                  <a:p>
                    <a:fld id="{AA167816-B680-4E68-B8DB-2BF5872D5DF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6"/>
              <c:layout/>
              <c:tx>
                <c:rich>
                  <a:bodyPr/>
                  <a:lstStyle/>
                  <a:p>
                    <a:fld id="{683C0571-A445-48BA-86DA-BC9FA01600E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7"/>
              <c:layout/>
              <c:tx>
                <c:rich>
                  <a:bodyPr/>
                  <a:lstStyle/>
                  <a:p>
                    <a:fld id="{EEFE7427-D199-4C24-A243-9A14F2A6AE41}"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8"/>
              <c:layout/>
              <c:tx>
                <c:rich>
                  <a:bodyPr/>
                  <a:lstStyle/>
                  <a:p>
                    <a:fld id="{DD881D63-DF36-40E5-801B-40A49FE8442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9"/>
              <c:layout/>
              <c:tx>
                <c:rich>
                  <a:bodyPr/>
                  <a:lstStyle/>
                  <a:p>
                    <a:fld id="{5882E05E-7929-4A95-B04B-AABCCF82E4B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Performance!$C$55:$X$55</c:f>
              <c:numCache>
                <c:formatCode>General</c:formatCode>
                <c:ptCount val="22"/>
                <c:pt idx="0">
                  <c:v>0.72677159407917724</c:v>
                </c:pt>
                <c:pt idx="1">
                  <c:v>0.55232268099183746</c:v>
                </c:pt>
                <c:pt idx="2">
                  <c:v>0.44930910123828049</c:v>
                </c:pt>
                <c:pt idx="3">
                  <c:v>0.38201318815161467</c:v>
                </c:pt>
                <c:pt idx="4">
                  <c:v>0.33512737030317258</c:v>
                </c:pt>
                <c:pt idx="5">
                  <c:v>0.30099786197862016</c:v>
                </c:pt>
                <c:pt idx="6">
                  <c:v>0.27537256000332772</c:v>
                </c:pt>
                <c:pt idx="7">
                  <c:v>0.25570020247251707</c:v>
                </c:pt>
                <c:pt idx="8">
                  <c:v>0.24035725908314773</c:v>
                </c:pt>
                <c:pt idx="9">
                  <c:v>0.22826137629985951</c:v>
                </c:pt>
                <c:pt idx="10">
                  <c:v>0.21866323244432589</c:v>
                </c:pt>
                <c:pt idx="11">
                  <c:v>0.21102759774631383</c:v>
                </c:pt>
                <c:pt idx="12">
                  <c:v>0.20496197037431893</c:v>
                </c:pt>
                <c:pt idx="13">
                  <c:v>0.20017197395471295</c:v>
                </c:pt>
                <c:pt idx="14">
                  <c:v>0.19643249714295677</c:v>
                </c:pt>
                <c:pt idx="15">
                  <c:v>0.19356845333774206</c:v>
                </c:pt>
                <c:pt idx="16">
                  <c:v>0.19144161627487805</c:v>
                </c:pt>
                <c:pt idx="17">
                  <c:v>0.18994140494301212</c:v>
                </c:pt>
                <c:pt idx="18">
                  <c:v>0.18897830138057309</c:v>
                </c:pt>
                <c:pt idx="19">
                  <c:v>0.18847906361900285</c:v>
                </c:pt>
                <c:pt idx="20">
                  <c:v>0.18838318742340537</c:v>
                </c:pt>
                <c:pt idx="21">
                  <c:v>0.18864025259803407</c:v>
                </c:pt>
              </c:numCache>
            </c:numRef>
          </c:yVal>
          <c:smooth val="0"/>
          <c:extLst>
            <c:ext xmlns:c15="http://schemas.microsoft.com/office/drawing/2012/chart" uri="{02D57815-91ED-43cb-92C2-25804820EDAC}">
              <c15:datalabelsRange>
                <c15:f>Performance!$C$77:$V$77</c15:f>
                <c15:dlblRangeCache>
                  <c:ptCount val="20"/>
                  <c:pt idx="19">
                    <c:v>SEP @5g [ft/sec]</c:v>
                  </c:pt>
                </c15:dlblRangeCache>
              </c15:datalabelsRange>
            </c:ext>
          </c:extLst>
        </c:ser>
        <c:dLbls>
          <c:showLegendKey val="0"/>
          <c:showVal val="0"/>
          <c:showCatName val="0"/>
          <c:showSerName val="0"/>
          <c:showPercent val="0"/>
          <c:showBubbleSize val="0"/>
        </c:dLbls>
        <c:axId val="367677928"/>
        <c:axId val="367678320"/>
      </c:scatterChart>
      <c:valAx>
        <c:axId val="367677928"/>
        <c:scaling>
          <c:orientation val="minMax"/>
          <c:min val="50"/>
        </c:scaling>
        <c:delete val="0"/>
        <c:axPos val="b"/>
        <c:title>
          <c:tx>
            <c:rich>
              <a:bodyPr/>
              <a:lstStyle/>
              <a:p>
                <a:pPr>
                  <a:defRPr sz="1000" b="0" i="0" u="none" strike="noStrike" baseline="0">
                    <a:solidFill>
                      <a:srgbClr val="000000"/>
                    </a:solidFill>
                    <a:latin typeface="Arial"/>
                    <a:ea typeface="Arial"/>
                    <a:cs typeface="Arial"/>
                  </a:defRPr>
                </a:pPr>
                <a:r>
                  <a:rPr lang="en-US"/>
                  <a:t>TAKEOFF WING LOADING, W/S [LB/FT²]</a:t>
                </a:r>
              </a:p>
            </c:rich>
          </c:tx>
          <c:layout>
            <c:manualLayout>
              <c:xMode val="edge"/>
              <c:yMode val="edge"/>
              <c:x val="0.38512763596004462"/>
              <c:y val="0.9445350734094616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7678320"/>
        <c:crosses val="autoZero"/>
        <c:crossBetween val="midCat"/>
      </c:valAx>
      <c:valAx>
        <c:axId val="3676783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TAKEOFF THRUST/WEIGHT RATIO</a:t>
                </a:r>
              </a:p>
            </c:rich>
          </c:tx>
          <c:layout>
            <c:manualLayout>
              <c:xMode val="edge"/>
              <c:yMode val="edge"/>
              <c:x val="1.2208657047724751E-2"/>
              <c:y val="0.342577487765089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7677928"/>
        <c:crosses val="autoZero"/>
        <c:crossBetween val="midCat"/>
      </c:valAx>
      <c:spPr>
        <a:no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THRUST/WEIGHT VERSUS WING LOADING
CIVIL REQUIREMENTS</a:t>
            </a:r>
          </a:p>
        </c:rich>
      </c:tx>
      <c:layout>
        <c:manualLayout>
          <c:xMode val="edge"/>
          <c:yMode val="edge"/>
          <c:x val="0.35183129855715872"/>
          <c:y val="1.9575856443719418E-2"/>
        </c:manualLayout>
      </c:layout>
      <c:overlay val="0"/>
      <c:spPr>
        <a:noFill/>
        <a:ln w="25400">
          <a:noFill/>
        </a:ln>
      </c:spPr>
    </c:title>
    <c:autoTitleDeleted val="0"/>
    <c:plotArea>
      <c:layout>
        <c:manualLayout>
          <c:layoutTarget val="inner"/>
          <c:xMode val="edge"/>
          <c:yMode val="edge"/>
          <c:x val="7.1032186459489471E-2"/>
          <c:y val="0.14029363784665586"/>
          <c:w val="0.90455049944506083"/>
          <c:h val="0.75367047308319801"/>
        </c:manualLayout>
      </c:layout>
      <c:scatterChart>
        <c:scatterStyle val="smoothMarker"/>
        <c:varyColors val="0"/>
        <c:ser>
          <c:idx val="3"/>
          <c:order val="3"/>
          <c:spPr>
            <a:ln w="12700">
              <a:solidFill>
                <a:srgbClr val="FF0000"/>
              </a:solidFill>
              <a:prstDash val="solid"/>
            </a:ln>
          </c:spPr>
          <c:marker>
            <c:symbol val="none"/>
          </c:marker>
          <c:dLbls>
            <c:dLbl>
              <c:idx val="0"/>
              <c:layout/>
              <c:tx>
                <c:rich>
                  <a:bodyPr/>
                  <a:lstStyle/>
                  <a:p>
                    <a:pPr>
                      <a:defRPr sz="1000" b="0" i="0" u="none" strike="noStrike" baseline="0">
                        <a:solidFill>
                          <a:srgbClr val="000000"/>
                        </a:solidFill>
                        <a:latin typeface="Arial"/>
                        <a:ea typeface="Arial"/>
                        <a:cs typeface="Arial"/>
                      </a:defRPr>
                    </a:pPr>
                    <a:fld id="{6AE48CEE-3215-4E81-8C9D-95411578C2C2}"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pPr>
                      <a:defRPr sz="1000" b="0" i="0" u="none" strike="noStrike" baseline="0">
                        <a:solidFill>
                          <a:srgbClr val="000000"/>
                        </a:solidFill>
                        <a:latin typeface="Arial"/>
                        <a:ea typeface="Arial"/>
                        <a:cs typeface="Arial"/>
                      </a:defRPr>
                    </a:pPr>
                    <a:fld id="{0622A6B6-7BB8-43E4-8723-3EB6E46B392A}"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pPr>
                      <a:defRPr sz="1000" b="0" i="0" u="none" strike="noStrike" baseline="0">
                        <a:solidFill>
                          <a:srgbClr val="000000"/>
                        </a:solidFill>
                        <a:latin typeface="Arial"/>
                        <a:ea typeface="Arial"/>
                        <a:cs typeface="Arial"/>
                      </a:defRPr>
                    </a:pPr>
                    <a:fld id="{13CFBE95-859A-4FDC-BB81-E843B8C9E39C}"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pPr>
                      <a:defRPr sz="1000" b="0" i="0" u="none" strike="noStrike" baseline="0">
                        <a:solidFill>
                          <a:srgbClr val="000000"/>
                        </a:solidFill>
                        <a:latin typeface="Arial"/>
                        <a:ea typeface="Arial"/>
                        <a:cs typeface="Arial"/>
                      </a:defRPr>
                    </a:pPr>
                    <a:fld id="{A6EBA78B-A2C8-43E1-8DA3-AC58C1DBE5F3}"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pPr>
                      <a:defRPr sz="1000" b="0" i="0" u="none" strike="noStrike" baseline="0">
                        <a:solidFill>
                          <a:srgbClr val="000000"/>
                        </a:solidFill>
                        <a:latin typeface="Arial"/>
                        <a:ea typeface="Arial"/>
                        <a:cs typeface="Arial"/>
                      </a:defRPr>
                    </a:pPr>
                    <a:fld id="{2DD0762C-A334-4AAC-B614-D3493DE22CF9}"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pPr>
                      <a:defRPr sz="1000" b="0" i="0" u="none" strike="noStrike" baseline="0">
                        <a:solidFill>
                          <a:srgbClr val="000000"/>
                        </a:solidFill>
                        <a:latin typeface="Arial"/>
                        <a:ea typeface="Arial"/>
                        <a:cs typeface="Arial"/>
                      </a:defRPr>
                    </a:pPr>
                    <a:fld id="{A250643B-0AD4-464B-9F1E-B2CC7405A672}"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pPr>
                      <a:defRPr sz="1000" b="0" i="0" u="none" strike="noStrike" baseline="0">
                        <a:solidFill>
                          <a:srgbClr val="000000"/>
                        </a:solidFill>
                        <a:latin typeface="Arial"/>
                        <a:ea typeface="Arial"/>
                        <a:cs typeface="Arial"/>
                      </a:defRPr>
                    </a:pPr>
                    <a:fld id="{7C434D3A-5A39-46D9-8BFA-246DD0AA02C0}"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pPr>
                      <a:defRPr sz="1000" b="0" i="0" u="none" strike="noStrike" baseline="0">
                        <a:solidFill>
                          <a:srgbClr val="000000"/>
                        </a:solidFill>
                        <a:latin typeface="Arial"/>
                        <a:ea typeface="Arial"/>
                        <a:cs typeface="Arial"/>
                      </a:defRPr>
                    </a:pPr>
                    <a:fld id="{8981B740-F8CE-4D98-ACBC-AFAFD0F0C2A9}"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pPr>
                      <a:defRPr sz="1000" b="0" i="0" u="none" strike="noStrike" baseline="0">
                        <a:solidFill>
                          <a:srgbClr val="000000"/>
                        </a:solidFill>
                        <a:latin typeface="Arial"/>
                        <a:ea typeface="Arial"/>
                        <a:cs typeface="Arial"/>
                      </a:defRPr>
                    </a:pPr>
                    <a:fld id="{CE7C9974-0D17-424A-AD7B-9C3F01B93916}" type="CELLRANGE">
                      <a:rPr lang="en-US"/>
                      <a:pPr>
                        <a:defRPr sz="1000" b="0" i="0" u="none" strike="noStrike" baseline="0">
                          <a:solidFill>
                            <a:srgbClr val="000000"/>
                          </a:solidFill>
                          <a:latin typeface="Arial"/>
                          <a:ea typeface="Arial"/>
                          <a:cs typeface="Arial"/>
                        </a:defRPr>
                      </a:pPr>
                      <a:t>[CELLRANGE]</a:t>
                    </a:fld>
                    <a:endParaRPr lang="en-US"/>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delete val="1"/>
              <c:extLst>
                <c:ext xmlns:c15="http://schemas.microsoft.com/office/drawing/2012/chart" uri="{CE6537A1-D6FC-4f65-9D91-7224C49458BB}"/>
              </c:extLst>
            </c:dLbl>
            <c:dLbl>
              <c:idx val="10"/>
              <c:layout/>
              <c:tx>
                <c:rich>
                  <a:bodyPr/>
                  <a:lstStyle/>
                  <a:p>
                    <a:fld id="{6C6A32F4-A085-40C5-AD7B-8D367690FF8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D4FF3AEB-7C11-41F1-A802-1530C67431E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E59D2C57-000B-46BE-8DDB-B0D25EAE8CA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fld id="{E599E576-20BB-40F6-9E3A-653FBF9810E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4"/>
              <c:layout/>
              <c:tx>
                <c:rich>
                  <a:bodyPr/>
                  <a:lstStyle/>
                  <a:p>
                    <a:fld id="{B41849A8-B2AD-4F56-9FE0-C3D2F74B3FF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5"/>
              <c:layout/>
              <c:tx>
                <c:rich>
                  <a:bodyPr/>
                  <a:lstStyle/>
                  <a:p>
                    <a:fld id="{99198AC4-B28D-4F3C-AB89-7C654B2D2F4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6"/>
              <c:layout/>
              <c:tx>
                <c:rich>
                  <a:bodyPr/>
                  <a:lstStyle/>
                  <a:p>
                    <a:fld id="{BBF5C1EE-0157-4F65-9536-E6BB652808D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7"/>
              <c:layout/>
              <c:tx>
                <c:rich>
                  <a:bodyPr/>
                  <a:lstStyle/>
                  <a:p>
                    <a:fld id="{71A89377-8B0F-4713-BAE9-C2D66FBD07B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8"/>
              <c:layout/>
              <c:tx>
                <c:rich>
                  <a:bodyPr/>
                  <a:lstStyle/>
                  <a:p>
                    <a:fld id="{88A657E8-3442-4BC7-8173-B6974B3D330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9"/>
              <c:layout/>
              <c:tx>
                <c:rich>
                  <a:bodyPr/>
                  <a:lstStyle/>
                  <a:p>
                    <a:fld id="{5C4A4782-819A-4F17-9C36-18BB6018DC8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0"/>
              <c:layout/>
              <c:tx>
                <c:rich>
                  <a:bodyPr/>
                  <a:lstStyle/>
                  <a:p>
                    <a:fld id="{2A8D74DA-AA42-4607-BD68-E9331A80BCD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1"/>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dLblPos val="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Performance!$C$55:$X$55</c:f>
              <c:numCache>
                <c:formatCode>General</c:formatCode>
                <c:ptCount val="22"/>
                <c:pt idx="0">
                  <c:v>0.72677159407917724</c:v>
                </c:pt>
                <c:pt idx="1">
                  <c:v>0.55232268099183746</c:v>
                </c:pt>
                <c:pt idx="2">
                  <c:v>0.44930910123828049</c:v>
                </c:pt>
                <c:pt idx="3">
                  <c:v>0.38201318815161467</c:v>
                </c:pt>
                <c:pt idx="4">
                  <c:v>0.33512737030317258</c:v>
                </c:pt>
                <c:pt idx="5">
                  <c:v>0.30099786197862016</c:v>
                </c:pt>
                <c:pt idx="6">
                  <c:v>0.27537256000332772</c:v>
                </c:pt>
                <c:pt idx="7">
                  <c:v>0.25570020247251707</c:v>
                </c:pt>
                <c:pt idx="8">
                  <c:v>0.24035725908314773</c:v>
                </c:pt>
                <c:pt idx="9">
                  <c:v>0.22826137629985951</c:v>
                </c:pt>
                <c:pt idx="10">
                  <c:v>0.21866323244432589</c:v>
                </c:pt>
                <c:pt idx="11">
                  <c:v>0.21102759774631383</c:v>
                </c:pt>
                <c:pt idx="12">
                  <c:v>0.20496197037431893</c:v>
                </c:pt>
                <c:pt idx="13">
                  <c:v>0.20017197395471295</c:v>
                </c:pt>
                <c:pt idx="14">
                  <c:v>0.19643249714295677</c:v>
                </c:pt>
                <c:pt idx="15">
                  <c:v>0.19356845333774206</c:v>
                </c:pt>
                <c:pt idx="16">
                  <c:v>0.19144161627487805</c:v>
                </c:pt>
                <c:pt idx="17">
                  <c:v>0.18994140494301212</c:v>
                </c:pt>
                <c:pt idx="18">
                  <c:v>0.18897830138057309</c:v>
                </c:pt>
                <c:pt idx="19">
                  <c:v>0.18847906361900285</c:v>
                </c:pt>
                <c:pt idx="20">
                  <c:v>0.18838318742340537</c:v>
                </c:pt>
                <c:pt idx="21">
                  <c:v>0.18864025259803407</c:v>
                </c:pt>
              </c:numCache>
            </c:numRef>
          </c:yVal>
          <c:smooth val="1"/>
          <c:extLst>
            <c:ext xmlns:c15="http://schemas.microsoft.com/office/drawing/2012/chart" uri="{02D57815-91ED-43cb-92C2-25804820EDAC}">
              <c15:datalabelsRange>
                <c15:f>Performance!$C$78:$W$78</c15:f>
                <c15:dlblRangeCache>
                  <c:ptCount val="21"/>
                  <c:pt idx="3">
                    <c:v>Cruise Mach req'm't</c:v>
                  </c:pt>
                </c15:dlblRangeCache>
              </c15:datalabelsRange>
            </c:ext>
          </c:extLst>
        </c:ser>
        <c:dLbls>
          <c:showLegendKey val="0"/>
          <c:showVal val="0"/>
          <c:showCatName val="0"/>
          <c:showSerName val="0"/>
          <c:showPercent val="0"/>
          <c:showBubbleSize val="0"/>
        </c:dLbls>
        <c:axId val="367679104"/>
        <c:axId val="367679496"/>
      </c:scatterChart>
      <c:scatterChart>
        <c:scatterStyle val="lineMarker"/>
        <c:varyColors val="0"/>
        <c:ser>
          <c:idx val="0"/>
          <c:order val="0"/>
          <c:spPr>
            <a:ln w="12700">
              <a:solidFill>
                <a:srgbClr val="0000FF"/>
              </a:solidFill>
              <a:prstDash val="solid"/>
            </a:ln>
          </c:spPr>
          <c:marker>
            <c:symbol val="none"/>
          </c:marker>
          <c:dLbls>
            <c:dLbl>
              <c:idx val="0"/>
              <c:layout/>
              <c:tx>
                <c:strRef>
                  <c:f>Performance!$A$80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{391FA24D-CA71-4EB9-B819-C4AE7DB649B6}</c15:txfldGUID>
                      <c15:f>Performance!$A$80</c15:f>
                      <c15:dlblFieldTableCache>
                        <c:ptCount val="1"/>
                      </c15:dlblFieldTableCache>
                    </c15:dlblFTEntry>
                  </c15:dlblFieldTable>
                  <c15:showDataLabelsRange val="0"/>
                </c:ext>
              </c:extLst>
            </c:dLbl>
            <c:dLbl>
              <c:idx val="1"/>
              <c:layout/>
              <c:tx>
                <c:strRef>
                  <c:f>Performance!$B$80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{434E82D3-75A3-440A-8955-50A1A61684B9}</c15:txfldGUID>
                      <c15:f>Performance!$B$80</c15:f>
                      <c15:dlblFieldTableCache>
                        <c:ptCount val="1"/>
                      </c15:dlblFieldTableCache>
                    </c15:dlblFTEntry>
                  </c15:dlblFieldTable>
                  <c15:showDataLabelsRange val="0"/>
                </c:ext>
              </c:extLst>
            </c:dLbl>
            <c:dLbl>
              <c:idx val="2"/>
              <c:layout/>
              <c:tx>
                <c:strRef>
                  <c:f>Performance!$C$80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{53C64EC0-FBD1-4AA2-BB9F-76CA44C79A66}</c15:txfldGUID>
                      <c15:f>Performance!$C$80</c15:f>
                      <c15:dlblFieldTableCache>
                        <c:ptCount val="1"/>
                      </c15:dlblFieldTableCache>
                    </c15:dlblFTEntry>
                  </c15:dlblFieldTable>
                  <c15:showDataLabelsRange val="0"/>
                </c:ext>
              </c:extLst>
            </c:dLbl>
            <c:dLbl>
              <c:idx val="3"/>
              <c:layout/>
              <c:tx>
                <c:strRef>
                  <c:f>Performance!$D$80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{46C8EBEE-E969-4691-9981-1BF7719EC610}</c15:txfldGUID>
                      <c15:f>Performance!$D$80</c15:f>
                      <c15:dlblFieldTableCache>
                        <c:ptCount val="1"/>
                      </c15:dlblFieldTableCache>
                    </c15:dlblFTEntry>
                  </c15:dlblFieldTable>
                  <c15:showDataLabelsRange val="0"/>
                </c:ext>
              </c:extLst>
            </c:dLbl>
            <c:dLbl>
              <c:idx val="4"/>
              <c:layout/>
              <c:tx>
                <c:strRef>
                  <c:f>Performance!$E$80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{A0217FFC-F8C9-486C-AE55-59969C2EDB58}</c15:txfldGUID>
                      <c15:f>Performance!$E$80</c15:f>
                      <c15:dlblFieldTableCache>
                        <c:ptCount val="1"/>
                      </c15:dlblFieldTableCache>
                    </c15:dlblFTEntry>
                  </c15:dlblFieldTable>
                  <c15:showDataLabelsRange val="0"/>
                </c:ext>
              </c:extLst>
            </c:dLbl>
            <c:dLbl>
              <c:idx val="5"/>
              <c:layout/>
              <c:tx>
                <c:strRef>
                  <c:f>Performance!$F$80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{7A987074-E2CA-44D4-8A35-0920D281469A}</c15:txfldGUID>
                      <c15:f>Performance!$F$80</c15:f>
                      <c15:dlblFieldTableCache>
                        <c:ptCount val="1"/>
                      </c15:dlblFieldTableCache>
                    </c15:dlblFTEntry>
                  </c15:dlblFieldTable>
                  <c15:showDataLabelsRange val="0"/>
                </c:ext>
              </c:extLst>
            </c:dLbl>
            <c:dLbl>
              <c:idx val="6"/>
              <c:layout/>
              <c:tx>
                <c:strRef>
                  <c:f>Performance!$G$80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{2EF9BF44-8FE5-4668-ACFE-4BAE12AD88EC}</c15:txfldGUID>
                      <c15:f>Performance!$G$80</c15:f>
                      <c15:dlblFieldTableCache>
                        <c:ptCount val="1"/>
                      </c15:dlblFieldTableCache>
                    </c15:dlblFTEntry>
                  </c15:dlblFieldTable>
                  <c15:showDataLabelsRange val="0"/>
                </c:ext>
              </c:extLst>
            </c:dLbl>
            <c:dLbl>
              <c:idx val="7"/>
              <c:layout/>
              <c:tx>
                <c:strRef>
                  <c:f>Performance!$H$80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{5EE98241-F4F2-47A8-9080-1D4479FF4232}</c15:txfldGUID>
                      <c15:f>Performance!$H$80</c15:f>
                      <c15:dlblFieldTableCache>
                        <c:ptCount val="1"/>
                      </c15:dlblFieldTableCache>
                    </c15:dlblFTEntry>
                  </c15:dlblFieldTable>
                  <c15:showDataLabelsRange val="0"/>
                </c:ext>
              </c:extLst>
            </c:dLbl>
            <c:dLbl>
              <c:idx val="8"/>
              <c:layout/>
              <c:tx>
                <c:strRef>
                  <c:f>Performance!$I$80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{40F9F869-5DAF-4664-9A63-3573072B6BCF}</c15:txfldGUID>
                      <c15:f>Performance!$I$80</c15:f>
                      <c15:dlblFieldTableCache>
                        <c:ptCount val="1"/>
                      </c15:dlblFieldTableCache>
                    </c15:dlblFTEntry>
                  </c15:dlblFieldTable>
                  <c15:showDataLabelsRange val="0"/>
                </c:ext>
              </c:extLst>
            </c:dLbl>
            <c:dLbl>
              <c:idx val="9"/>
              <c:layout/>
              <c:tx>
                <c:strRef>
                  <c:f>Performance!$J$80</c:f>
                  <c:strCache>
                    <c:ptCount val="1"/>
                    <c:pt idx="0">
                      <c:v>Takeoff (Roskam I, =n 3.8)</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{9EF79BFF-FEA2-46BD-AA7B-A173744E530E}</c15:txfldGUID>
                      <c15:f>Performance!$J$80</c15:f>
                      <c15:dlblFieldTableCache>
                        <c:ptCount val="1"/>
                        <c:pt idx="0">
                          <c:v>Takeoff (Roskam I, =n 3.8)</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Performance!$C$52:$X$52</c:f>
              <c:numCache>
                <c:formatCode>General</c:formatCode>
                <c:ptCount val="22"/>
                <c:pt idx="0">
                  <c:v>9.2008731482552536E-2</c:v>
                </c:pt>
                <c:pt idx="1">
                  <c:v>0.12267830864340337</c:v>
                </c:pt>
                <c:pt idx="2">
                  <c:v>0.15334788580425424</c:v>
                </c:pt>
                <c:pt idx="3">
                  <c:v>0.18401746296510507</c:v>
                </c:pt>
                <c:pt idx="4">
                  <c:v>0.21468704012595591</c:v>
                </c:pt>
                <c:pt idx="5">
                  <c:v>0.24535661728680674</c:v>
                </c:pt>
                <c:pt idx="6">
                  <c:v>0.27602619444765758</c:v>
                </c:pt>
                <c:pt idx="7">
                  <c:v>0.30669577160850847</c:v>
                </c:pt>
                <c:pt idx="8">
                  <c:v>0.33736534876935931</c:v>
                </c:pt>
                <c:pt idx="9">
                  <c:v>0.36803492593021014</c:v>
                </c:pt>
                <c:pt idx="10">
                  <c:v>0.39870450309106098</c:v>
                </c:pt>
                <c:pt idx="11">
                  <c:v>0.42937408025191182</c:v>
                </c:pt>
                <c:pt idx="12">
                  <c:v>0.46004365741276265</c:v>
                </c:pt>
                <c:pt idx="13">
                  <c:v>0.49071323457361349</c:v>
                </c:pt>
                <c:pt idx="14">
                  <c:v>0.52138281173446432</c:v>
                </c:pt>
                <c:pt idx="15">
                  <c:v>0.55205238889531516</c:v>
                </c:pt>
                <c:pt idx="16">
                  <c:v>0.582721966056166</c:v>
                </c:pt>
                <c:pt idx="17">
                  <c:v>0.61339154321701694</c:v>
                </c:pt>
                <c:pt idx="18">
                  <c:v>0.64406112037786778</c:v>
                </c:pt>
                <c:pt idx="19">
                  <c:v>0.67473069753871862</c:v>
                </c:pt>
                <c:pt idx="20">
                  <c:v>0.70540027469956945</c:v>
                </c:pt>
                <c:pt idx="21">
                  <c:v>0.73606985186042029</c:v>
                </c:pt>
              </c:numCache>
            </c:numRef>
          </c:yVal>
          <c:smooth val="0"/>
        </c:ser>
        <c:ser>
          <c:idx val="1"/>
          <c:order val="1"/>
          <c:spPr>
            <a:ln w="3175">
              <a:solidFill>
                <a:srgbClr val="00FF00"/>
              </a:solidFill>
              <a:prstDash val="solid"/>
            </a:ln>
          </c:spPr>
          <c:marker>
            <c:symbol val="none"/>
          </c:marker>
          <c:dPt>
            <c:idx val="23"/>
            <c:bubble3D val="0"/>
            <c:spPr>
              <a:ln w="12700">
                <a:solidFill>
                  <a:srgbClr val="00FF00"/>
                </a:solidFill>
                <a:prstDash val="solid"/>
              </a:ln>
            </c:spPr>
          </c:dPt>
          <c:dLbls>
            <c:dLbl>
              <c:idx val="0"/>
              <c:tx>
                <c:strRef>
                  <c:f>Performance!$C$44</c:f>
                  <c:strCache>
                    <c:ptCount val="1"/>
                    <c:pt idx="0">
                      <c:v>5</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{0D0FE9C2-08A7-436A-9805-BEBE6C962415}</c15:txfldGUID>
                      <c15:f>Performance!$C$44</c15:f>
                      <c15:dlblFieldTableCache>
                        <c:ptCount val="1"/>
                        <c:pt idx="0">
                          <c:v>5</c:v>
                        </c:pt>
                      </c15:dlblFieldTableCache>
                    </c15:dlblFTEntry>
                  </c15:dlblFieldTable>
                  <c15:showDataLabelsRange val="0"/>
                </c:ext>
              </c:extLst>
            </c:dLbl>
            <c:dLbl>
              <c:idx val="1"/>
              <c:tx>
                <c:strRef>
                  <c:f>Performance!$D$44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{C1CA5206-1A50-4AC7-9B53-563369036823}</c15:txfldGUID>
                      <c15:f>Performance!$D$44</c15:f>
                      <c15:dlblFieldTableCache>
                        <c:ptCount val="1"/>
                      </c15:dlblFieldTableCache>
                    </c15:dlblFTEntry>
                  </c15:dlblFieldTable>
                  <c15:showDataLabelsRange val="0"/>
                </c:ext>
              </c:extLst>
            </c:dLbl>
            <c:dLbl>
              <c:idx val="2"/>
              <c:tx>
                <c:strRef>
                  <c:f>Performance!$E$44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{1AC5F137-4E70-4AB4-B3EC-B4A95C5DA9BF}</c15:txfldGUID>
                      <c15:f>Performance!$E$44</c15:f>
                      <c15:dlblFieldTableCache>
                        <c:ptCount val="1"/>
                      </c15:dlblFieldTableCache>
                    </c15:dlblFTEntry>
                  </c15:dlblFieldTable>
                  <c15:showDataLabelsRange val="0"/>
                </c:ext>
              </c:extLst>
            </c:dLbl>
            <c:dLbl>
              <c:idx val="3"/>
              <c:tx>
                <c:strRef>
                  <c:f>Performance!$F$44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{25FBEA85-DA35-4D52-B1BA-EBED340351CE}</c15:txfldGUID>
                      <c15:f>Performance!$F$44</c15:f>
                      <c15:dlblFieldTableCache>
                        <c:ptCount val="1"/>
                      </c15:dlblFieldTableCache>
                    </c15:dlblFTEntry>
                  </c15:dlblFieldTable>
                  <c15:showDataLabelsRange val="0"/>
                </c:ext>
              </c:extLst>
            </c:dLbl>
            <c:dLbl>
              <c:idx val="4"/>
              <c:tx>
                <c:strRef>
                  <c:f>Performance!$G$44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{6A982437-C5AA-43B9-9F63-7595C504DBAC}</c15:txfldGUID>
                      <c15:f>Performance!$G$44</c15:f>
                      <c15:dlblFieldTableCache>
                        <c:ptCount val="1"/>
                      </c15:dlblFieldTableCache>
                    </c15:dlblFTEntry>
                  </c15:dlblFieldTable>
                  <c15:showDataLabelsRange val="0"/>
                </c:ext>
              </c:extLst>
            </c:dLbl>
            <c:dLbl>
              <c:idx val="5"/>
              <c:tx>
                <c:strRef>
                  <c:f>Performance!$H$44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{0632C13D-94A3-4AEB-B604-6CFE68DB0397}</c15:txfldGUID>
                      <c15:f>Performance!$H$44</c15:f>
                      <c15:dlblFieldTableCache>
                        <c:ptCount val="1"/>
                      </c15:dlblFieldTableCache>
                    </c15:dlblFTEntry>
                  </c15:dlblFieldTable>
                  <c15:showDataLabelsRange val="0"/>
                </c:ext>
              </c:extLst>
            </c:dLbl>
            <c:dLbl>
              <c:idx val="6"/>
              <c:tx>
                <c:strRef>
                  <c:f>Performance!$I$44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{585ED8CC-44A6-4B9C-95E2-31DD04A7FA64}</c15:txfldGUID>
                      <c15:f>Performance!$I$44</c15:f>
                      <c15:dlblFieldTableCache>
                        <c:ptCount val="1"/>
                      </c15:dlblFieldTableCache>
                    </c15:dlblFTEntry>
                  </c15:dlblFieldTable>
                  <c15:showDataLabelsRange val="0"/>
                </c:ext>
              </c:extLst>
            </c:dLbl>
            <c:dLbl>
              <c:idx val="7"/>
              <c:tx>
                <c:strRef>
                  <c:f>Performance!$J$44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{B8515316-E6BD-40AC-A13E-A3C071ADCE11}</c15:txfldGUID>
                      <c15:f>Performance!$J$44</c15:f>
                      <c15:dlblFieldTableCache>
                        <c:ptCount val="1"/>
                      </c15:dlblFieldTableCache>
                    </c15:dlblFTEntry>
                  </c15:dlblFieldTable>
                  <c15:showDataLabelsRange val="0"/>
                </c:ext>
              </c:extLst>
            </c:dLbl>
            <c:dLbl>
              <c:idx val="8"/>
              <c:tx>
                <c:strRef>
                  <c:f>Performance!$K$44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{5DF132DE-ED5E-4786-88BD-672AF2F38833}</c15:txfldGUID>
                      <c15:f>Performance!$K$44</c15:f>
                      <c15:dlblFieldTableCache>
                        <c:ptCount val="1"/>
                      </c15:dlblFieldTableCache>
                    </c15:dlblFTEntry>
                  </c15:dlblFieldTable>
                  <c15:showDataLabelsRange val="0"/>
                </c:ext>
              </c:extLst>
            </c:dLbl>
            <c:dLbl>
              <c:idx val="9"/>
              <c:tx>
                <c:strRef>
                  <c:f>Performance!$L$44</c:f>
                  <c:strCache>
                    <c:ptCount val="1"/>
                    <c:pt idx="0">
                      <c:v>v</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{4F82D4DA-3130-4D53-841A-02BDC0DA79D8}</c15:txfldGUID>
                      <c15:f>Performance!$L$44</c15:f>
                      <c15:dlblFieldTableCache>
                        <c:ptCount val="1"/>
                        <c:pt idx="0">
                          <c:v>v</c:v>
                        </c:pt>
                      </c15:dlblFieldTableCache>
                    </c15:dlblFTEntry>
                  </c15:dlblFieldTable>
                  <c15:showDataLabelsRange val="0"/>
                </c:ext>
              </c:extLst>
            </c:dLbl>
            <c:dLbl>
              <c:idx val="10"/>
              <c:tx>
                <c:strRef>
                  <c:f>Performance!$M$44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{04617EE9-01D8-482F-A47B-08D70C0DC980}</c15:txfldGUID>
                      <c15:f>Performance!$M$44</c15:f>
                      <c15:dlblFieldTableCache>
                        <c:ptCount val="1"/>
                      </c15:dlblFieldTableCache>
                    </c15:dlblFTEntry>
                  </c15:dlblFieldTable>
                  <c15:showDataLabelsRange val="0"/>
                </c:ext>
              </c:extLst>
            </c:dLbl>
            <c:dLbl>
              <c:idx val="11"/>
              <c:tx>
                <c:strRef>
                  <c:f>Performance!$N$44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{CF323DC8-A593-4694-875E-9CB306998227}</c15:txfldGUID>
                      <c15:f>Performance!$N$44</c15:f>
                      <c15:dlblFieldTableCache>
                        <c:ptCount val="1"/>
                      </c15:dlblFieldTableCache>
                    </c15:dlblFTEntry>
                  </c15:dlblFieldTable>
                  <c15:showDataLabelsRange val="0"/>
                </c:ext>
              </c:extLst>
            </c:dLbl>
            <c:dLbl>
              <c:idx val="12"/>
              <c:tx>
                <c:strRef>
                  <c:f>Performance!$O$44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{8E7E308F-801F-4AB3-8FEF-888E337BB4CF}</c15:txfldGUID>
                      <c15:f>Performance!$O$44</c15:f>
                      <c15:dlblFieldTableCache>
                        <c:ptCount val="1"/>
                      </c15:dlblFieldTableCache>
                    </c15:dlblFTEntry>
                  </c15:dlblFieldTable>
                  <c15:showDataLabelsRange val="0"/>
                </c:ext>
              </c:extLst>
            </c:dLbl>
            <c:dLbl>
              <c:idx val="13"/>
              <c:tx>
                <c:strRef>
                  <c:f>Performance!$P$44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{0F7E714B-3E74-480A-8410-0FB3099ABF7B}</c15:txfldGUID>
                      <c15:f>Performance!$P$44</c15:f>
                      <c15:dlblFieldTableCache>
                        <c:ptCount val="1"/>
                      </c15:dlblFieldTableCache>
                    </c15:dlblFTEntry>
                  </c15:dlblFieldTable>
                  <c15:showDataLabelsRange val="0"/>
                </c:ext>
              </c:extLst>
            </c:dLbl>
            <c:dLbl>
              <c:idx val="14"/>
              <c:tx>
                <c:strRef>
                  <c:f>Performance!$Q$44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{895F922C-FC45-4CB2-9F01-DCF6B88B951A}</c15:txfldGUID>
                      <c15:f>Performance!$Q$44</c15:f>
                      <c15:dlblFieldTableCache>
                        <c:ptCount val="1"/>
                      </c15:dlblFieldTableCache>
                    </c15:dlblFTEntry>
                  </c15:dlblFieldTable>
                  <c15:showDataLabelsRange val="0"/>
                </c:ext>
              </c:extLst>
            </c:dLbl>
            <c:dLbl>
              <c:idx val="15"/>
              <c:tx>
                <c:strRef>
                  <c:f>Performance!$R$44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{0EFE0C8A-5EF9-4AE7-968E-0A551E0B2767}</c15:txfldGUID>
                      <c15:f>Performance!$R$44</c15:f>
                      <c15:dlblFieldTableCache>
                        <c:ptCount val="1"/>
                      </c15:dlblFieldTableCache>
                    </c15:dlblFTEntry>
                  </c15:dlblFieldTable>
                  <c15:showDataLabelsRange val="0"/>
                </c:ext>
              </c:extLst>
            </c:dLbl>
            <c:dLbl>
              <c:idx val="16"/>
              <c:tx>
                <c:strRef>
                  <c:f>Performance!$S$44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{B0084066-4E14-4176-BFAA-CD2C2AF520C4}</c15:txfldGUID>
                      <c15:f>Performance!$S$44</c15:f>
                      <c15:dlblFieldTableCache>
                        <c:ptCount val="1"/>
                      </c15:dlblFieldTableCache>
                    </c15:dlblFTEntry>
                  </c15:dlblFieldTable>
                  <c15:showDataLabelsRange val="0"/>
                </c:ext>
              </c:extLst>
            </c:dLbl>
            <c:dLbl>
              <c:idx val="17"/>
              <c:tx>
                <c:strRef>
                  <c:f>Performance!$T$44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{C4DB1625-3550-49F2-A54F-B77A3DECD57C}</c15:txfldGUID>
                      <c15:f>Performance!$T$44</c15:f>
                      <c15:dlblFieldTableCache>
                        <c:ptCount val="1"/>
                      </c15:dlblFieldTableCache>
                    </c15:dlblFTEntry>
                  </c15:dlblFieldTable>
                  <c15:showDataLabelsRange val="0"/>
                </c:ext>
              </c:extLst>
            </c:dLbl>
            <c:dLbl>
              <c:idx val="18"/>
              <c:tx>
                <c:strRef>
                  <c:f>Performance!$U$44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{DFDA944F-1F0E-4DCC-B718-E224E1B63C88}</c15:txfldGUID>
                      <c15:f>Performance!$U$44</c15:f>
                      <c15:dlblFieldTableCache>
                        <c:ptCount val="1"/>
                      </c15:dlblFieldTableCache>
                    </c15:dlblFTEntry>
                  </c15:dlblFieldTable>
                  <c15:showDataLabelsRange val="0"/>
                </c:ext>
              </c:extLst>
            </c:dLbl>
            <c:dLbl>
              <c:idx val="19"/>
              <c:tx>
                <c:strRef>
                  <c:f>Performance!$V$44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{67A0C6B3-2C99-4B87-9900-AAD5789EEF08}</c15:txfldGUID>
                      <c15:f>Performance!$V$44</c15:f>
                      <c15:dlblFieldTableCache>
                        <c:ptCount val="1"/>
                      </c15:dlblFieldTableCache>
                    </c15:dlblFTEntry>
                  </c15:dlblFieldTable>
                  <c15:showDataLabelsRange val="0"/>
                </c:ext>
              </c:extLst>
            </c:dLbl>
            <c:dLbl>
              <c:idx val="20"/>
              <c:tx>
                <c:strRef>
                  <c:f>Performance!$W$44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{96390E7C-FC47-4A77-8F28-7471ECEA57B5}</c15:txfldGUID>
                      <c15:f>Performance!$W$44</c15:f>
                      <c15:dlblFieldTableCache>
                        <c:ptCount val="1"/>
                      </c15:dlblFieldTableCache>
                    </c15:dlblFTEntry>
                  </c15:dlblFieldTable>
                  <c15:showDataLabelsRange val="0"/>
                </c:ext>
              </c:extLst>
            </c:dLbl>
            <c:dLbl>
              <c:idx val="21"/>
              <c:tx>
                <c:strRef>
                  <c:f>Performance!$X$44</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{DB3986C2-9CB7-4697-9785-5B4B284A7542}</c15:txfldGUID>
                      <c15:f>Performance!$X$44</c15:f>
                      <c15:dlblFieldTableCache>
                        <c:ptCount val="1"/>
                      </c15:dlblFieldTableCache>
                    </c15:dlblFTEntry>
                  </c15:dlblFieldTable>
                  <c15:showDataLabelsRange val="0"/>
                </c:ext>
              </c:extLst>
            </c:dLbl>
            <c:dLbl>
              <c:idx val="22"/>
              <c:layout/>
              <c:tx>
                <c:strRef>
                  <c:f>Performance!#REF!</c:f>
                  <c:strCache>
                    <c:ptCount val="1"/>
                    <c:pt idx="0">
                      <c:v>#REF!</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{2476077F-634D-4CC6-99C0-9ABAD7154470}</c15:txfldGUID>
                      <c15:f>Performance!#REF!</c15:f>
                      <c15:dlblFieldTableCache>
                        <c:ptCount val="1"/>
                        <c:pt idx="0">
                          <c:v>#REF!</c:v>
                        </c:pt>
                      </c15:dlblFieldTableCache>
                    </c15:dlblFTEntry>
                  </c15:dlblFieldTable>
                  <c15:showDataLabelsRange val="0"/>
                </c:ext>
              </c:extLst>
            </c:dLbl>
            <c:dLbl>
              <c:idx val="23"/>
              <c:layout/>
              <c:tx>
                <c:strRef>
                  <c:f>Performance!$Y$44</c:f>
                  <c:strCache>
                    <c:ptCount val="1"/>
                    <c:pt idx="0">
                      <c:v>Landing</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layout/>
                  <c15:dlblFieldTable>
                    <c15:dlblFTEntry>
                      <c15:txfldGUID>{8D03D325-2E2A-4F55-8823-E06B62167E91}</c15:txfldGUID>
                      <c15:f>Performance!$Y$44</c15:f>
                      <c15:dlblFieldTableCache>
                        <c:ptCount val="1"/>
                        <c:pt idx="0">
                          <c:v>Landing</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Performance!$C$51:$Z$51</c:f>
              <c:numCache>
                <c:formatCode>General</c:formatCode>
                <c:ptCount val="24"/>
                <c:pt idx="22">
                  <c:v>0</c:v>
                </c:pt>
                <c:pt idx="23">
                  <c:v>0.7798405522272942</c:v>
                </c:pt>
              </c:numCache>
            </c:numRef>
          </c:yVal>
          <c:smooth val="0"/>
        </c:ser>
        <c:ser>
          <c:idx val="2"/>
          <c:order val="2"/>
          <c:spPr>
            <a:ln w="12700">
              <a:solidFill>
                <a:srgbClr val="00FFFF"/>
              </a:solidFill>
              <a:prstDash val="solid"/>
            </a:ln>
          </c:spPr>
          <c:marker>
            <c:symbol val="none"/>
          </c:marker>
          <c:dLbls>
            <c:dLbl>
              <c:idx val="0"/>
              <c:layout/>
              <c:tx>
                <c:rich>
                  <a:bodyPr/>
                  <a:lstStyle/>
                  <a:p>
                    <a:fld id="{B83413E0-A587-4405-AB20-9D0DADA1D70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showDataLabelsRange val="1"/>
                </c:ext>
              </c:extLst>
            </c:dLbl>
            <c:dLbl>
              <c:idx val="1"/>
              <c:layout/>
              <c:tx>
                <c:rich>
                  <a:bodyPr/>
                  <a:lstStyle/>
                  <a:p>
                    <a:fld id="{BF836E7D-AF78-45C7-8C68-9683444D85D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2"/>
              <c:layout/>
              <c:tx>
                <c:rich>
                  <a:bodyPr/>
                  <a:lstStyle/>
                  <a:p>
                    <a:fld id="{82CFD79A-7492-4654-95A6-84B409DBBBA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3"/>
              <c:layout/>
              <c:tx>
                <c:rich>
                  <a:bodyPr/>
                  <a:lstStyle/>
                  <a:p>
                    <a:fld id="{61DD6753-56A2-4FE6-85C6-AB7F41CA4E6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4"/>
              <c:layout/>
              <c:tx>
                <c:rich>
                  <a:bodyPr/>
                  <a:lstStyle/>
                  <a:p>
                    <a:fld id="{1E967CB6-1A3E-4092-8440-40517063D41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5"/>
              <c:layout/>
              <c:tx>
                <c:rich>
                  <a:bodyPr/>
                  <a:lstStyle/>
                  <a:p>
                    <a:fld id="{98C88832-51EF-4B3D-965F-E50B963331D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6"/>
              <c:layout/>
              <c:tx>
                <c:rich>
                  <a:bodyPr/>
                  <a:lstStyle/>
                  <a:p>
                    <a:fld id="{6534DA8C-369A-4078-B82C-8FB4DC8432E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7"/>
              <c:layout/>
              <c:tx>
                <c:rich>
                  <a:bodyPr/>
                  <a:lstStyle/>
                  <a:p>
                    <a:fld id="{FE101BA2-6709-4E42-844E-BAFCE3F1A96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8"/>
              <c:layout/>
              <c:tx>
                <c:rich>
                  <a:bodyPr/>
                  <a:lstStyle/>
                  <a:p>
                    <a:fld id="{33D9A750-D943-4C76-86AB-77C552733BD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9"/>
              <c:layout/>
              <c:tx>
                <c:rich>
                  <a:bodyPr/>
                  <a:lstStyle/>
                  <a:p>
                    <a:fld id="{A0B342AB-BF0B-4FFD-9C45-60206CC800C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0"/>
              <c:layout/>
              <c:tx>
                <c:rich>
                  <a:bodyPr/>
                  <a:lstStyle/>
                  <a:p>
                    <a:fld id="{E1D52F35-47AC-43CB-86F0-CDF6EC23E85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1"/>
              <c:layout/>
              <c:tx>
                <c:rich>
                  <a:bodyPr/>
                  <a:lstStyle/>
                  <a:p>
                    <a:fld id="{3D40AD5A-B39D-4934-A226-2556D201191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2"/>
              <c:layout/>
              <c:tx>
                <c:rich>
                  <a:bodyPr/>
                  <a:lstStyle/>
                  <a:p>
                    <a:fld id="{AD876780-740F-42B9-BA2C-A28878B07A1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Lst>
            </c:dLbl>
            <c:dLbl>
              <c:idx val="13"/>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4"/>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5"/>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6"/>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7"/>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8"/>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19"/>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0"/>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dLbl>
              <c:idx val="21"/>
              <c:layout/>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15:layout/>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xVal>
            <c:numRef>
              <c:f>Performance!$C$45:$AB$45</c:f>
              <c:numCache>
                <c:formatCode>General</c:formatCode>
                <c:ptCount val="26"/>
                <c:pt idx="0">
                  <c:v>15</c:v>
                </c:pt>
                <c:pt idx="1">
                  <c:v>20</c:v>
                </c:pt>
                <c:pt idx="2">
                  <c:v>25</c:v>
                </c:pt>
                <c:pt idx="3">
                  <c:v>30</c:v>
                </c:pt>
                <c:pt idx="4">
                  <c:v>35</c:v>
                </c:pt>
                <c:pt idx="5">
                  <c:v>40</c:v>
                </c:pt>
                <c:pt idx="6">
                  <c:v>45</c:v>
                </c:pt>
                <c:pt idx="7">
                  <c:v>50</c:v>
                </c:pt>
                <c:pt idx="8">
                  <c:v>55</c:v>
                </c:pt>
                <c:pt idx="9">
                  <c:v>60</c:v>
                </c:pt>
                <c:pt idx="10">
                  <c:v>65</c:v>
                </c:pt>
                <c:pt idx="11">
                  <c:v>70</c:v>
                </c:pt>
                <c:pt idx="12">
                  <c:v>75</c:v>
                </c:pt>
                <c:pt idx="13">
                  <c:v>80</c:v>
                </c:pt>
                <c:pt idx="14">
                  <c:v>85</c:v>
                </c:pt>
                <c:pt idx="15">
                  <c:v>90</c:v>
                </c:pt>
                <c:pt idx="16">
                  <c:v>95</c:v>
                </c:pt>
                <c:pt idx="17">
                  <c:v>100</c:v>
                </c:pt>
                <c:pt idx="18">
                  <c:v>105</c:v>
                </c:pt>
                <c:pt idx="19">
                  <c:v>110</c:v>
                </c:pt>
                <c:pt idx="20">
                  <c:v>115</c:v>
                </c:pt>
                <c:pt idx="21">
                  <c:v>120</c:v>
                </c:pt>
                <c:pt idx="22">
                  <c:v>142.10168553556755</c:v>
                </c:pt>
                <c:pt idx="23">
                  <c:v>142.10168553556755</c:v>
                </c:pt>
                <c:pt idx="24">
                  <c:v>87.468250794658715</c:v>
                </c:pt>
                <c:pt idx="25">
                  <c:v>87.468250794658715</c:v>
                </c:pt>
              </c:numCache>
            </c:numRef>
          </c:xVal>
          <c:yVal>
            <c:numRef>
              <c:f>Performance!$C$53:$X$53</c:f>
              <c:numCache>
                <c:formatCode>General</c:formatCode>
                <c:ptCount val="22"/>
                <c:pt idx="0">
                  <c:v>0.7798405522272942</c:v>
                </c:pt>
                <c:pt idx="1">
                  <c:v>0.7798405522272942</c:v>
                </c:pt>
                <c:pt idx="2">
                  <c:v>0.7798405522272942</c:v>
                </c:pt>
                <c:pt idx="3">
                  <c:v>0.7798405522272942</c:v>
                </c:pt>
                <c:pt idx="4">
                  <c:v>0.7798405522272942</c:v>
                </c:pt>
                <c:pt idx="5">
                  <c:v>0.7798405522272942</c:v>
                </c:pt>
                <c:pt idx="6">
                  <c:v>0.7798405522272942</c:v>
                </c:pt>
                <c:pt idx="7">
                  <c:v>0.7798405522272942</c:v>
                </c:pt>
                <c:pt idx="8">
                  <c:v>0.7798405522272942</c:v>
                </c:pt>
                <c:pt idx="9">
                  <c:v>0.7798405522272942</c:v>
                </c:pt>
                <c:pt idx="10">
                  <c:v>0.7798405522272942</c:v>
                </c:pt>
                <c:pt idx="11">
                  <c:v>0.7798405522272942</c:v>
                </c:pt>
                <c:pt idx="12">
                  <c:v>0.7798405522272942</c:v>
                </c:pt>
                <c:pt idx="13">
                  <c:v>0.7798405522272942</c:v>
                </c:pt>
                <c:pt idx="14">
                  <c:v>0.7798405522272942</c:v>
                </c:pt>
                <c:pt idx="15">
                  <c:v>0.7798405522272942</c:v>
                </c:pt>
                <c:pt idx="16">
                  <c:v>0.7798405522272942</c:v>
                </c:pt>
                <c:pt idx="17">
                  <c:v>0.7798405522272942</c:v>
                </c:pt>
                <c:pt idx="18">
                  <c:v>0.7798405522272942</c:v>
                </c:pt>
                <c:pt idx="19">
                  <c:v>0.7798405522272942</c:v>
                </c:pt>
                <c:pt idx="20">
                  <c:v>0.7798405522272942</c:v>
                </c:pt>
                <c:pt idx="21">
                  <c:v>0.7798405522272942</c:v>
                </c:pt>
              </c:numCache>
            </c:numRef>
          </c:yVal>
          <c:smooth val="0"/>
          <c:extLst>
            <c:ext xmlns:c15="http://schemas.microsoft.com/office/drawing/2012/chart" uri="{02D57815-91ED-43cb-92C2-25804820EDAC}">
              <c15:datalabelsRange>
                <c15:f>Performance!$B$79:$N$79</c15:f>
                <c15:dlblRangeCache>
                  <c:ptCount val="13"/>
                  <c:pt idx="1">
                    <c:v>FAR Part 25 climb</c:v>
                  </c:pt>
                </c15:dlblRangeCache>
              </c15:datalabelsRange>
            </c:ext>
          </c:extLst>
        </c:ser>
        <c:dLbls>
          <c:showLegendKey val="0"/>
          <c:showVal val="0"/>
          <c:showCatName val="0"/>
          <c:showSerName val="0"/>
          <c:showPercent val="0"/>
          <c:showBubbleSize val="0"/>
        </c:dLbls>
        <c:axId val="367679104"/>
        <c:axId val="367679496"/>
      </c:scatterChart>
      <c:valAx>
        <c:axId val="36767910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TAKEOFF WING LOADING, W/S [LB/FT²]</a:t>
                </a:r>
              </a:p>
            </c:rich>
          </c:tx>
          <c:layout>
            <c:manualLayout>
              <c:xMode val="edge"/>
              <c:yMode val="edge"/>
              <c:x val="0.38512763596004462"/>
              <c:y val="0.9445350734094616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7679496"/>
        <c:crosses val="autoZero"/>
        <c:crossBetween val="midCat"/>
      </c:valAx>
      <c:valAx>
        <c:axId val="367679496"/>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TAKEOFF THRUST/WEIGHT RATIO</a:t>
                </a:r>
              </a:p>
            </c:rich>
          </c:tx>
          <c:layout>
            <c:manualLayout>
              <c:xMode val="edge"/>
              <c:yMode val="edge"/>
              <c:x val="1.2208657047724751E-2"/>
              <c:y val="0.342577487765089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7679104"/>
        <c:crosses val="autoZero"/>
        <c:crossBetween val="midCat"/>
      </c:valAx>
      <c:spPr>
        <a:solidFill>
          <a:schemeClr val="bg1"/>
        </a:solid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STRUCTURAL WEIGHT BREAKDOWN</a:t>
            </a:r>
          </a:p>
        </c:rich>
      </c:tx>
      <c:layout>
        <c:manualLayout>
          <c:xMode val="edge"/>
          <c:yMode val="edge"/>
          <c:x val="0.37069922308546072"/>
          <c:y val="1.9575856443719418E-2"/>
        </c:manualLayout>
      </c:layout>
      <c:overlay val="0"/>
      <c:spPr>
        <a:noFill/>
        <a:ln w="25400">
          <a:noFill/>
        </a:ln>
      </c:spPr>
    </c:title>
    <c:autoTitleDeleted val="0"/>
    <c:plotArea>
      <c:layout>
        <c:manualLayout>
          <c:layoutTarget val="inner"/>
          <c:xMode val="edge"/>
          <c:yMode val="edge"/>
          <c:x val="0.27192008879023316"/>
          <c:y val="0.2039151712887439"/>
          <c:w val="0.45615982241953379"/>
          <c:h val="0.67047308319738985"/>
        </c:manualLayout>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'Wt &amp; Balance'!$A$92:$A$97</c:f>
              <c:strCache>
                <c:ptCount val="6"/>
                <c:pt idx="0">
                  <c:v> 5.1 Wing </c:v>
                </c:pt>
                <c:pt idx="1">
                  <c:v> 5.2 Horizontal Tail</c:v>
                </c:pt>
                <c:pt idx="2">
                  <c:v> 5.2 Vertical Tail</c:v>
                </c:pt>
                <c:pt idx="3">
                  <c:v> 5.3 Fuselage</c:v>
                </c:pt>
                <c:pt idx="4">
                  <c:v> 5.4 Nacelles</c:v>
                </c:pt>
                <c:pt idx="5">
                  <c:v> 5.5 Landing gear</c:v>
                </c:pt>
              </c:strCache>
            </c:strRef>
          </c:cat>
          <c:val>
            <c:numRef>
              <c:f>'Wt &amp; Balance'!$C$92:$C$97</c:f>
              <c:numCache>
                <c:formatCode>0_)</c:formatCode>
                <c:ptCount val="6"/>
                <c:pt idx="0">
                  <c:v>5709.3704318463833</c:v>
                </c:pt>
                <c:pt idx="1">
                  <c:v>818.76249302971132</c:v>
                </c:pt>
                <c:pt idx="2">
                  <c:v>911.250604326146</c:v>
                </c:pt>
                <c:pt idx="3">
                  <c:v>4512.3393412085643</c:v>
                </c:pt>
                <c:pt idx="4">
                  <c:v>2876.7914589836423</c:v>
                </c:pt>
                <c:pt idx="5">
                  <c:v>1594.6622976401939</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Balance'!$A$92:$A$97</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Balance'!$A$92:$A$97</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ser>
          <c:idx val="3"/>
          <c:order val="3"/>
          <c:spPr>
            <a:solidFill>
              <a:srgbClr val="CCFFFF"/>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Balance'!$A$92:$A$97</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ser>
          <c:idx val="4"/>
          <c:order val="4"/>
          <c:spPr>
            <a:solidFill>
              <a:srgbClr val="660066"/>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Balance'!$A$92:$A$97</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ser>
          <c:idx val="5"/>
          <c:order val="5"/>
          <c:spPr>
            <a:solidFill>
              <a:srgbClr val="FF8080"/>
            </a:solidFill>
            <a:ln w="12700">
              <a:solidFill>
                <a:srgbClr val="000000"/>
              </a:solidFill>
              <a:prstDash val="solid"/>
            </a:ln>
          </c:spPr>
          <c:dPt>
            <c:idx val="0"/>
            <c:bubble3D val="0"/>
            <c:spPr>
              <a:solidFill>
                <a:srgbClr val="9999FF"/>
              </a:solidFill>
              <a:ln w="12700">
                <a:solidFill>
                  <a:srgbClr val="000000"/>
                </a:solidFill>
                <a:prstDash val="solid"/>
              </a:ln>
            </c:spPr>
          </c:dPt>
          <c:dLbls>
            <c:delete val="1"/>
          </c:dLbls>
          <c:cat>
            <c:strRef>
              <c:f>'Wt &amp; Balance'!$A$92:$A$97</c:f>
              <c:strCache>
                <c:ptCount val="6"/>
                <c:pt idx="0">
                  <c:v> 5.1 Wing </c:v>
                </c:pt>
                <c:pt idx="1">
                  <c:v> 5.2 Horizontal Tail</c:v>
                </c:pt>
                <c:pt idx="2">
                  <c:v> 5.2 Vertical Tail</c:v>
                </c:pt>
                <c:pt idx="3">
                  <c:v> 5.3 Fuselage</c:v>
                </c:pt>
                <c:pt idx="4">
                  <c:v> 5.4 Nacelles</c:v>
                </c:pt>
                <c:pt idx="5">
                  <c:v> 5.5 Landing gear</c:v>
                </c:pt>
              </c:strCache>
            </c:strRef>
          </c:cat>
          <c:val>
            <c:numRef>
              <c:f>CHALENGR!#REF!</c:f>
              <c:numCache>
                <c:formatCode>General</c:formatCode>
                <c:ptCount val="1"/>
                <c:pt idx="0">
                  <c:v>1</c:v>
                </c:pt>
              </c:numCache>
            </c:numRef>
          </c:val>
        </c:ser>
        <c:dLbls>
          <c:showLegendKey val="0"/>
          <c:showVal val="0"/>
          <c:showCatName val="0"/>
          <c:showSerName val="0"/>
          <c:showPercent val="1"/>
          <c:showBubbleSize val="0"/>
          <c:showLeaderLines val="1"/>
        </c:dLbls>
        <c:firstSliceAng val="0"/>
      </c:pieChart>
      <c:spPr>
        <a:solidFill>
          <a:srgbClr val="C0C0C0"/>
        </a:solidFill>
        <a:ln w="12700">
          <a:solidFill>
            <a:srgbClr val="808080"/>
          </a:solidFill>
          <a:prstDash val="solid"/>
        </a:ln>
      </c:spPr>
    </c:plotArea>
    <c:plotVisOnly val="0"/>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DRAG POLARS</a:t>
            </a:r>
          </a:p>
        </c:rich>
      </c:tx>
      <c:layout>
        <c:manualLayout>
          <c:xMode val="edge"/>
          <c:yMode val="edge"/>
          <c:x val="0.4450610432852386"/>
          <c:y val="1.9575856443719418E-2"/>
        </c:manualLayout>
      </c:layout>
      <c:overlay val="0"/>
      <c:spPr>
        <a:noFill/>
        <a:ln w="25400">
          <a:noFill/>
        </a:ln>
      </c:spPr>
    </c:title>
    <c:autoTitleDeleted val="0"/>
    <c:plotArea>
      <c:layout>
        <c:manualLayout>
          <c:layoutTarget val="inner"/>
          <c:xMode val="edge"/>
          <c:yMode val="edge"/>
          <c:x val="7.1032186459489471E-2"/>
          <c:y val="0.11256117455138664"/>
          <c:w val="0.90233074361820198"/>
          <c:h val="0.78140293637846669"/>
        </c:manualLayout>
      </c:layout>
      <c:scatterChart>
        <c:scatterStyle val="lineMarker"/>
        <c:varyColors val="0"/>
        <c:ser>
          <c:idx val="0"/>
          <c:order val="0"/>
          <c:spPr>
            <a:ln w="12700">
              <a:solidFill>
                <a:srgbClr val="0000FF"/>
              </a:solidFill>
              <a:prstDash val="solid"/>
            </a:ln>
          </c:spPr>
          <c:marker>
            <c:symbol val="none"/>
          </c:marker>
          <c:dLbls>
            <c:dLbl>
              <c:idx val="0"/>
              <c:tx>
                <c:strRef>
                  <c:f>Aerodynamics!$C$57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{FE0FFBA2-D13E-47F4-B9FF-E9D9F92AF43D}</c15:txfldGUID>
                      <c15:f>Aerodynamics!$C$57</c15:f>
                      <c15:dlblFieldTableCache>
                        <c:ptCount val="1"/>
                      </c15:dlblFieldTableCache>
                    </c15:dlblFTEntry>
                  </c15:dlblFieldTable>
                  <c15:showDataLabelsRange val="0"/>
                </c:ext>
              </c:extLst>
            </c:dLbl>
            <c:dLbl>
              <c:idx val="1"/>
              <c:tx>
                <c:strRef>
                  <c:f>Aerodynamics!$D$57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{7913369C-4605-4E13-AFFE-0A2FB10CD5E3}</c15:txfldGUID>
                      <c15:f>Aerodynamics!$D$57</c15:f>
                      <c15:dlblFieldTableCache>
                        <c:ptCount val="1"/>
                      </c15:dlblFieldTableCache>
                    </c15:dlblFTEntry>
                  </c15:dlblFieldTable>
                  <c15:showDataLabelsRange val="0"/>
                </c:ext>
              </c:extLst>
            </c:dLbl>
            <c:dLbl>
              <c:idx val="2"/>
              <c:tx>
                <c:strRef>
                  <c:f>Aerodynamics!$E$57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{39068349-82B9-4290-B02E-AAB11ED8EDCD}</c15:txfldGUID>
                      <c15:f>Aerodynamics!$E$57</c15:f>
                      <c15:dlblFieldTableCache>
                        <c:ptCount val="1"/>
                      </c15:dlblFieldTableCache>
                    </c15:dlblFTEntry>
                  </c15:dlblFieldTable>
                  <c15:showDataLabelsRange val="0"/>
                </c:ext>
              </c:extLst>
            </c:dLbl>
            <c:dLbl>
              <c:idx val="3"/>
              <c:tx>
                <c:strRef>
                  <c:f>Aerodynamics!$F$57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{1A436A1B-D5C7-48BA-B9BD-4DB9DA6CFBCD}</c15:txfldGUID>
                      <c15:f>Aerodynamics!$F$57</c15:f>
                      <c15:dlblFieldTableCache>
                        <c:ptCount val="1"/>
                      </c15:dlblFieldTableCache>
                    </c15:dlblFTEntry>
                  </c15:dlblFieldTable>
                  <c15:showDataLabelsRange val="0"/>
                </c:ext>
              </c:extLst>
            </c:dLbl>
            <c:dLbl>
              <c:idx val="4"/>
              <c:tx>
                <c:strRef>
                  <c:f>Aerodynamics!$G$57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{89410538-B6C8-4820-BFC4-6A3E11B1C92A}</c15:txfldGUID>
                      <c15:f>Aerodynamics!$G$57</c15:f>
                      <c15:dlblFieldTableCache>
                        <c:ptCount val="1"/>
                      </c15:dlblFieldTableCache>
                    </c15:dlblFTEntry>
                  </c15:dlblFieldTable>
                  <c15:showDataLabelsRange val="0"/>
                </c:ext>
              </c:extLst>
            </c:dLbl>
            <c:dLbl>
              <c:idx val="5"/>
              <c:tx>
                <c:strRef>
                  <c:f>Aerodynamics!$H$57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{734C959D-381D-424A-82DF-0E9D7A8F97A9}</c15:txfldGUID>
                      <c15:f>Aerodynamics!$H$57</c15:f>
                      <c15:dlblFieldTableCache>
                        <c:ptCount val="1"/>
                      </c15:dlblFieldTableCache>
                    </c15:dlblFTEntry>
                  </c15:dlblFieldTable>
                  <c15:showDataLabelsRange val="0"/>
                </c:ext>
              </c:extLst>
            </c:dLbl>
            <c:dLbl>
              <c:idx val="6"/>
              <c:tx>
                <c:strRef>
                  <c:f>Aerodynamics!$I$57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{F3412F35-0986-493F-AEA8-97D0ED259D34}</c15:txfldGUID>
                      <c15:f>Aerodynamics!$I$57</c15:f>
                      <c15:dlblFieldTableCache>
                        <c:ptCount val="1"/>
                      </c15:dlblFieldTableCache>
                    </c15:dlblFTEntry>
                  </c15:dlblFieldTable>
                  <c15:showDataLabelsRange val="0"/>
                </c:ext>
              </c:extLst>
            </c:dLbl>
            <c:dLbl>
              <c:idx val="7"/>
              <c:tx>
                <c:strRef>
                  <c:f>Aerodynamics!$J$57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{B6A26BB1-8A9F-4C93-8343-8977A0E67986}</c15:txfldGUID>
                      <c15:f>Aerodynamics!$J$57</c15:f>
                      <c15:dlblFieldTableCache>
                        <c:ptCount val="1"/>
                      </c15:dlblFieldTableCache>
                    </c15:dlblFTEntry>
                  </c15:dlblFieldTable>
                  <c15:showDataLabelsRange val="0"/>
                </c:ext>
              </c:extLst>
            </c:dLbl>
            <c:dLbl>
              <c:idx val="8"/>
              <c:tx>
                <c:strRef>
                  <c:f>Aerodynamics!$K$57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{C7515D0A-1310-4614-A5E7-3F412AA36F1E}</c15:txfldGUID>
                      <c15:f>Aerodynamics!$K$57</c15:f>
                      <c15:dlblFieldTableCache>
                        <c:ptCount val="1"/>
                      </c15:dlblFieldTableCache>
                    </c15:dlblFTEntry>
                  </c15:dlblFieldTable>
                  <c15:showDataLabelsRange val="0"/>
                </c:ext>
              </c:extLst>
            </c:dLbl>
            <c:dLbl>
              <c:idx val="9"/>
              <c:tx>
                <c:strRef>
                  <c:f>Aerodynamics!$L$57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{D577F678-A435-4244-AA3D-B3A8E3287B3B}</c15:txfldGUID>
                      <c15:f>Aerodynamics!$L$57</c15:f>
                      <c15:dlblFieldTableCache>
                        <c:ptCount val="1"/>
                      </c15:dlblFieldTableCache>
                    </c15:dlblFTEntry>
                  </c15:dlblFieldTable>
                  <c15:showDataLabelsRange val="0"/>
                </c:ext>
              </c:extLst>
            </c:dLbl>
            <c:dLbl>
              <c:idx val="10"/>
              <c:tx>
                <c:strRef>
                  <c:f>Aerodynamics!$M$57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{DE05BCAB-2DCF-4B13-A4F1-4C35EECB9656}</c15:txfldGUID>
                      <c15:f>Aerodynamics!$M$57</c15:f>
                      <c15:dlblFieldTableCache>
                        <c:ptCount val="1"/>
                      </c15:dlblFieldTableCache>
                    </c15:dlblFTEntry>
                  </c15:dlblFieldTable>
                  <c15:showDataLabelsRange val="0"/>
                </c:ext>
              </c:extLst>
            </c:dLbl>
            <c:dLbl>
              <c:idx val="11"/>
              <c:tx>
                <c:strRef>
                  <c:f>Aerodynamics!$N$57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{5D129C91-B7E1-441D-BCD8-2AD652898B28}</c15:txfldGUID>
                      <c15:f>Aerodynamics!$N$57</c15:f>
                      <c15:dlblFieldTableCache>
                        <c:ptCount val="1"/>
                      </c15:dlblFieldTableCache>
                    </c15:dlblFTEntry>
                  </c15:dlblFieldTable>
                  <c15:showDataLabelsRange val="0"/>
                </c:ext>
              </c:extLst>
            </c:dLbl>
            <c:dLbl>
              <c:idx val="12"/>
              <c:tx>
                <c:strRef>
                  <c:f>Aerodynamics!$O$57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{6C25CEBE-A913-447B-A003-E0E57F722700}</c15:txfldGUID>
                      <c15:f>Aerodynamics!$O$57</c15:f>
                      <c15:dlblFieldTableCache>
                        <c:ptCount val="1"/>
                      </c15:dlblFieldTableCache>
                    </c15:dlblFTEntry>
                  </c15:dlblFieldTable>
                  <c15:showDataLabelsRange val="0"/>
                </c:ext>
              </c:extLst>
            </c:dLbl>
            <c:dLbl>
              <c:idx val="13"/>
              <c:tx>
                <c:strRef>
                  <c:f>Aerodynamics!$P$57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{13CC2072-F49D-4545-BBAD-8C0AC80366B0}</c15:txfldGUID>
                      <c15:f>Aerodynamics!$P$57</c15:f>
                      <c15:dlblFieldTableCache>
                        <c:ptCount val="1"/>
                      </c15:dlblFieldTableCache>
                    </c15:dlblFTEntry>
                  </c15:dlblFieldTable>
                  <c15:showDataLabelsRange val="0"/>
                </c:ext>
              </c:extLst>
            </c:dLbl>
            <c:dLbl>
              <c:idx val="14"/>
              <c:tx>
                <c:strRef>
                  <c:f>Aerodynamics!$Q$57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{FBF7B449-5221-45C1-BC02-C1C12219C956}</c15:txfldGUID>
                      <c15:f>Aerodynamics!$Q$57</c15:f>
                      <c15:dlblFieldTableCache>
                        <c:ptCount val="1"/>
                      </c15:dlblFieldTableCache>
                    </c15:dlblFTEntry>
                  </c15:dlblFieldTable>
                  <c15:showDataLabelsRange val="0"/>
                </c:ext>
              </c:extLst>
            </c:dLbl>
            <c:dLbl>
              <c:idx val="15"/>
              <c:tx>
                <c:strRef>
                  <c:f>Aerodynamics!$R$57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{9D2047AA-93A7-4771-8F47-C6FB1CC0AFBB}</c15:txfldGUID>
                      <c15:f>Aerodynamics!$R$57</c15:f>
                      <c15:dlblFieldTableCache>
                        <c:ptCount val="1"/>
                      </c15:dlblFieldTableCache>
                    </c15:dlblFTEntry>
                  </c15:dlblFieldTable>
                  <c15:showDataLabelsRange val="0"/>
                </c:ext>
              </c:extLst>
            </c:dLbl>
            <c:dLbl>
              <c:idx val="16"/>
              <c:tx>
                <c:strRef>
                  <c:f>Aerodynamics!$S$57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{D9312A00-0492-4244-9702-65A07FFF3AA5}</c15:txfldGUID>
                      <c15:f>Aerodynamics!$S$57</c15:f>
                      <c15:dlblFieldTableCache>
                        <c:ptCount val="1"/>
                      </c15:dlblFieldTableCache>
                    </c15:dlblFTEntry>
                  </c15:dlblFieldTable>
                  <c15:showDataLabelsRange val="0"/>
                </c:ext>
              </c:extLst>
            </c:dLbl>
            <c:dLbl>
              <c:idx val="17"/>
              <c:tx>
                <c:strRef>
                  <c:f>Aerodynamics!$T$57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{FC177331-E109-4085-B13B-41638B204BBD}</c15:txfldGUID>
                      <c15:f>Aerodynamics!$T$57</c15:f>
                      <c15:dlblFieldTableCache>
                        <c:ptCount val="1"/>
                      </c15:dlblFieldTableCache>
                    </c15:dlblFTEntry>
                  </c15:dlblFieldTable>
                  <c15:showDataLabelsRange val="0"/>
                </c:ext>
              </c:extLst>
            </c:dLbl>
            <c:dLbl>
              <c:idx val="18"/>
              <c:tx>
                <c:strRef>
                  <c:f>Aerodynamics!$U$57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{98F93F29-9057-4465-A346-709B7E0694F9}</c15:txfldGUID>
                      <c15:f>Aerodynamics!$U$57</c15:f>
                      <c15:dlblFieldTableCache>
                        <c:ptCount val="1"/>
                      </c15:dlblFieldTableCache>
                    </c15:dlblFTEntry>
                  </c15:dlblFieldTable>
                  <c15:showDataLabelsRange val="0"/>
                </c:ext>
              </c:extLst>
            </c:dLbl>
            <c:dLbl>
              <c:idx val="19"/>
              <c:tx>
                <c:strRef>
                  <c:f>Aerodynamics!$V$57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{AC58A044-FAC9-4399-AA08-0452FF7B7063}</c15:txfldGUID>
                      <c15:f>Aerodynamics!$V$57</c15:f>
                      <c15:dlblFieldTableCache>
                        <c:ptCount val="1"/>
                      </c15:dlblFieldTableCache>
                    </c15:dlblFTEntry>
                  </c15:dlblFieldTable>
                  <c15:showDataLabelsRange val="0"/>
                </c:ext>
              </c:extLst>
            </c:dLbl>
            <c:dLbl>
              <c:idx val="20"/>
              <c:tx>
                <c:strRef>
                  <c:f>Aerodynamics!$W$57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{0630F3E3-6DDB-468C-B1A5-C9E5AB9332CD}</c15:txfldGUID>
                      <c15:f>Aerodynamics!$W$57</c15:f>
                      <c15:dlblFieldTableCache>
                        <c:ptCount val="1"/>
                      </c15:dlblFieldTableCache>
                    </c15:dlblFTEntry>
                  </c15:dlblFieldTable>
                  <c15:showDataLabelsRange val="0"/>
                </c:ext>
              </c:extLst>
            </c:dLbl>
            <c:dLbl>
              <c:idx val="21"/>
              <c:tx>
                <c:strRef>
                  <c:f>Aerodynamics!$X$57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{44D5D90E-C79A-41EE-BB0C-9BE2EB4E157E}</c15:txfldGUID>
                      <c15:f>Aerodynamics!$X$57</c15:f>
                      <c15:dlblFieldTableCache>
                        <c:ptCount val="1"/>
                      </c15:dlblFieldTableCache>
                    </c15:dlblFTEntry>
                  </c15:dlblFieldTable>
                  <c15:showDataLabelsRange val="0"/>
                </c:ext>
              </c:extLst>
            </c:dLbl>
            <c:dLbl>
              <c:idx val="22"/>
              <c:tx>
                <c:strRef>
                  <c:f>Aerodynamics!$Y$57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{FE160BEF-5EC7-4BBB-B20B-A985E01F249C}</c15:txfldGUID>
                      <c15:f>Aerodynamics!$Y$57</c15:f>
                      <c15:dlblFieldTableCache>
                        <c:ptCount val="1"/>
                      </c15:dlblFieldTableCache>
                    </c15:dlblFTEntry>
                  </c15:dlblFieldTable>
                  <c15:showDataLabelsRange val="0"/>
                </c:ext>
              </c:extLst>
            </c:dLbl>
            <c:dLbl>
              <c:idx val="23"/>
              <c:tx>
                <c:strRef>
                  <c:f>Aerodynamics!$Z$57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{F2CAC1F3-2123-4881-868E-E4F599AF0843}</c15:txfldGUID>
                      <c15:f>Aerodynamics!$Z$57</c15:f>
                      <c15:dlblFieldTableCache>
                        <c:ptCount val="1"/>
                      </c15:dlblFieldTableCache>
                    </c15:dlblFTEntry>
                  </c15:dlblFieldTable>
                  <c15:showDataLabelsRange val="0"/>
                </c:ext>
              </c:extLst>
            </c:dLbl>
            <c:dLbl>
              <c:idx val="24"/>
              <c:tx>
                <c:strRef>
                  <c:f>Aerodynamics!$AA$57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{6E453629-36BB-4EE9-9902-D38909544AF3}</c15:txfldGUID>
                      <c15:f>Aerodynamics!$AA$57</c15:f>
                      <c15:dlblFieldTableCache>
                        <c:ptCount val="1"/>
                      </c15:dlblFieldTableCache>
                    </c15:dlblFTEntry>
                  </c15:dlblFieldTable>
                  <c15:showDataLabelsRange val="0"/>
                </c:ext>
              </c:extLst>
            </c:dLbl>
            <c:dLbl>
              <c:idx val="25"/>
              <c:tx>
                <c:strRef>
                  <c:f>Aerodynamics!$AB$57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{CAE22D58-0CB4-4835-89F4-9668776B1EDF}</c15:txfldGUID>
                      <c15:f>Aerodynamics!$AB$57</c15:f>
                      <c15:dlblFieldTableCache>
                        <c:ptCount val="1"/>
                      </c15:dlblFieldTableCache>
                    </c15:dlblFTEntry>
                  </c15:dlblFieldTable>
                  <c15:showDataLabelsRange val="0"/>
                </c:ext>
              </c:extLst>
            </c:dLbl>
            <c:dLbl>
              <c:idx val="26"/>
              <c:tx>
                <c:strRef>
                  <c:f>Aerodynamics!$AC$57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{F7D5EB58-1EC9-4125-8FC2-7E344B1F53D0}</c15:txfldGUID>
                      <c15:f>Aerodynamics!$AC$57</c15:f>
                      <c15:dlblFieldTableCache>
                        <c:ptCount val="1"/>
                      </c15:dlblFieldTableCache>
                    </c15:dlblFTEntry>
                  </c15:dlblFieldTable>
                  <c15:showDataLabelsRange val="0"/>
                </c:ext>
              </c:extLst>
            </c:dLbl>
            <c:dLbl>
              <c:idx val="27"/>
              <c:tx>
                <c:strRef>
                  <c:f>Aerodynamics!$AD$57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{2CD1B666-EEFA-44AF-B838-AE40F0C08520}</c15:txfldGUID>
                      <c15:f>Aerodynamics!$AD$57</c15:f>
                      <c15:dlblFieldTableCache>
                        <c:ptCount val="1"/>
                      </c15:dlblFieldTableCache>
                    </c15:dlblFTEntry>
                  </c15:dlblFieldTable>
                  <c15:showDataLabelsRange val="0"/>
                </c:ext>
              </c:extLst>
            </c:dLbl>
            <c:dLbl>
              <c:idx val="28"/>
              <c:tx>
                <c:strRef>
                  <c:f>Aerodynamics!$AE$57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{B9170E93-BCD1-4CAC-974D-D47168A73E1D}</c15:txfldGUID>
                      <c15:f>Aerodynamics!$AE$57</c15:f>
                      <c15:dlblFieldTableCache>
                        <c:ptCount val="1"/>
                      </c15:dlblFieldTableCache>
                    </c15:dlblFTEntry>
                  </c15:dlblFieldTable>
                  <c15:showDataLabelsRange val="0"/>
                </c:ext>
              </c:extLst>
            </c:dLbl>
            <c:dLbl>
              <c:idx val="29"/>
              <c:tx>
                <c:strRef>
                  <c:f>Aerodynamics!$AF$57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{7C452978-96BC-4D28-9253-7AA15066B703}</c15:txfldGUID>
                      <c15:f>Aerodynamics!$AF$57</c15:f>
                      <c15:dlblFieldTableCache>
                        <c:ptCount val="1"/>
                      </c15:dlblFieldTableCache>
                    </c15:dlblFTEntry>
                  </c15:dlblFieldTable>
                  <c15:showDataLabelsRange val="0"/>
                </c:ext>
              </c:extLst>
            </c:dLbl>
            <c:dLbl>
              <c:idx val="30"/>
              <c:tx>
                <c:strRef>
                  <c:f>Aerodynamics!$AG$57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{06207555-4AEE-4993-AF27-0F1015BD48A7}</c15:txfldGUID>
                      <c15:f>Aerodynamics!$AG$57</c15:f>
                      <c15:dlblFieldTableCache>
                        <c:ptCount val="1"/>
                      </c15:dlblFieldTableCache>
                    </c15:dlblFTEntry>
                  </c15:dlblFieldTable>
                  <c15:showDataLabelsRange val="0"/>
                </c:ext>
              </c:extLst>
            </c:dLbl>
            <c:dLbl>
              <c:idx val="31"/>
              <c:tx>
                <c:strRef>
                  <c:f>Aerodynamics!$AH$57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{DC3296F3-8703-4664-AF1E-0251FAFE1D9C}</c15:txfldGUID>
                      <c15:f>Aerodynamics!$AH$57</c15:f>
                      <c15:dlblFieldTableCache>
                        <c:ptCount val="1"/>
                      </c15:dlblFieldTableCache>
                    </c15:dlblFTEntry>
                  </c15:dlblFieldTable>
                  <c15:showDataLabelsRange val="0"/>
                </c:ext>
              </c:extLst>
            </c:dLbl>
            <c:dLbl>
              <c:idx val="32"/>
              <c:tx>
                <c:strRef>
                  <c:f>Aerodynamics!$AI$57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{DE2FC5BF-7192-4AE0-9BD5-9494CF29FF6F}</c15:txfldGUID>
                      <c15:f>Aerodynamics!$AI$57</c15:f>
                      <c15:dlblFieldTableCache>
                        <c:ptCount val="1"/>
                      </c15:dlblFieldTableCache>
                    </c15:dlblFTEntry>
                  </c15:dlblFieldTable>
                  <c15:showDataLabelsRange val="0"/>
                </c:ext>
              </c:extLst>
            </c:dLbl>
            <c:dLbl>
              <c:idx val="33"/>
              <c:tx>
                <c:strRef>
                  <c:f>Aerodynamics!$AJ$57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{6E549FB3-2D28-4740-BCE2-60906B8DCBCE}</c15:txfldGUID>
                      <c15:f>Aerodynamics!$AJ$57</c15:f>
                      <c15:dlblFieldTableCache>
                        <c:ptCount val="1"/>
                      </c15:dlblFieldTableCache>
                    </c15:dlblFTEntry>
                  </c15:dlblFieldTable>
                  <c15:showDataLabelsRange val="0"/>
                </c:ext>
              </c:extLst>
            </c:dLbl>
            <c:dLbl>
              <c:idx val="34"/>
              <c:tx>
                <c:strRef>
                  <c:f>Aerodynamics!$AK$57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{8F83EDBF-D6C3-440E-86B0-CA3506333C08}</c15:txfldGUID>
                      <c15:f>Aerodynamics!$AK$57</c15:f>
                      <c15:dlblFieldTableCache>
                        <c:ptCount val="1"/>
                      </c15:dlblFieldTableCache>
                    </c15:dlblFTEntry>
                  </c15:dlblFieldTable>
                  <c15:showDataLabelsRange val="0"/>
                </c:ext>
              </c:extLst>
            </c:dLbl>
            <c:dLbl>
              <c:idx val="35"/>
              <c:tx>
                <c:strRef>
                  <c:f>Aerodynamics!$AL$57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{F5E95707-FF7A-4FBE-B7FE-6896F4894ED7}</c15:txfldGUID>
                      <c15:f>Aerodynamics!$AL$57</c15:f>
                      <c15:dlblFieldTableCache>
                        <c:ptCount val="1"/>
                      </c15:dlblFieldTableCache>
                    </c15:dlblFTEntry>
                  </c15:dlblFieldTable>
                  <c15:showDataLabelsRange val="0"/>
                </c:ext>
              </c:extLst>
            </c:dLbl>
            <c:dLbl>
              <c:idx val="36"/>
              <c:tx>
                <c:strRef>
                  <c:f>Aerodynamics!$AM$57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{912E394D-4602-4E61-B000-1AF2FE635387}</c15:txfldGUID>
                      <c15:f>Aerodynamics!$AM$57</c15:f>
                      <c15:dlblFieldTableCache>
                        <c:ptCount val="1"/>
                      </c15:dlblFieldTableCache>
                    </c15:dlblFTEntry>
                  </c15:dlblFieldTable>
                  <c15:showDataLabelsRange val="0"/>
                </c:ext>
              </c:extLst>
            </c:dLbl>
            <c:dLbl>
              <c:idx val="37"/>
              <c:tx>
                <c:strRef>
                  <c:f>Aerodynamics!$AN$57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{2E5A4C83-B3BE-4561-87C0-77A1C9632D6F}</c15:txfldGUID>
                      <c15:f>Aerodynamics!$AN$57</c15:f>
                      <c15:dlblFieldTableCache>
                        <c:ptCount val="1"/>
                      </c15:dlblFieldTableCache>
                    </c15:dlblFTEntry>
                  </c15:dlblFieldTable>
                  <c15:showDataLabelsRange val="0"/>
                </c:ext>
              </c:extLst>
            </c:dLbl>
            <c:dLbl>
              <c:idx val="38"/>
              <c:tx>
                <c:strRef>
                  <c:f>Aerodynamics!$AO$57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{C0874FDF-11CF-44E9-84C2-55BE96E4C0A8}</c15:txfldGUID>
                      <c15:f>Aerodynamics!$AO$57</c15:f>
                      <c15:dlblFieldTableCache>
                        <c:ptCount val="1"/>
                      </c15:dlblFieldTableCache>
                    </c15:dlblFTEntry>
                  </c15:dlblFieldTable>
                  <c15:showDataLabelsRange val="0"/>
                </c:ext>
              </c:extLst>
            </c:dLbl>
            <c:dLbl>
              <c:idx val="39"/>
              <c:tx>
                <c:strRef>
                  <c:f>Aerodynamics!$AP$57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{BEA59FA1-37CE-48FC-B0C7-291A341851F5}</c15:txfldGUID>
                      <c15:f>Aerodynamics!$AP$57</c15:f>
                      <c15:dlblFieldTableCache>
                        <c:ptCount val="1"/>
                      </c15:dlblFieldTableCache>
                    </c15:dlblFTEntry>
                  </c15:dlblFieldTable>
                  <c15:showDataLabelsRange val="0"/>
                </c:ext>
              </c:extLst>
            </c:dLbl>
            <c:dLbl>
              <c:idx val="40"/>
              <c:tx>
                <c:strRef>
                  <c:f>Aerodynamics!$AQ$57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{E3B05196-88B2-461F-9863-3A7B4AA0CE8B}</c15:txfldGUID>
                      <c15:f>Aerodynamics!$AQ$57</c15:f>
                      <c15:dlblFieldTableCache>
                        <c:ptCount val="1"/>
                      </c15:dlblFieldTableCache>
                    </c15:dlblFTEntry>
                  </c15:dlblFieldTable>
                  <c15:showDataLabelsRange val="0"/>
                </c:ext>
              </c:extLst>
            </c:dLbl>
            <c:dLbl>
              <c:idx val="41"/>
              <c:tx>
                <c:strRef>
                  <c:f>Aerodynamics!$AR$57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{79B8BB8F-4E8E-40F3-A635-7C4E44FDA595}</c15:txfldGUID>
                      <c15:f>Aerodynamics!$AR$57</c15:f>
                      <c15:dlblFieldTableCache>
                        <c:ptCount val="1"/>
                      </c15:dlblFieldTableCache>
                    </c15:dlblFTEntry>
                  </c15:dlblFieldTable>
                  <c15:showDataLabelsRange val="0"/>
                </c:ext>
              </c:extLst>
            </c:dLbl>
            <c:dLbl>
              <c:idx val="42"/>
              <c:tx>
                <c:strRef>
                  <c:f>Aerodynamics!$AS$57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{71C74C83-997E-4040-9BF3-88FD387CC6D6}</c15:txfldGUID>
                      <c15:f>Aerodynamics!$AS$57</c15:f>
                      <c15:dlblFieldTableCache>
                        <c:ptCount val="1"/>
                      </c15:dlblFieldTableCache>
                    </c15:dlblFTEntry>
                  </c15:dlblFieldTable>
                  <c15:showDataLabelsRange val="0"/>
                </c:ext>
              </c:extLst>
            </c:dLbl>
            <c:dLbl>
              <c:idx val="43"/>
              <c:tx>
                <c:strRef>
                  <c:f>Aerodynamics!$AT$57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{A5C47788-0367-4523-A0A8-ACC8A4C6C2ED}</c15:txfldGUID>
                      <c15:f>Aerodynamics!$AT$57</c15:f>
                      <c15:dlblFieldTableCache>
                        <c:ptCount val="1"/>
                      </c15:dlblFieldTableCache>
                    </c15:dlblFTEntry>
                  </c15:dlblFieldTable>
                  <c15:showDataLabelsRange val="0"/>
                </c:ext>
              </c:extLst>
            </c:dLbl>
            <c:dLbl>
              <c:idx val="44"/>
              <c:tx>
                <c:strRef>
                  <c:f>Aerodynamics!$AU$57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{7E8DA324-43AC-45EB-8534-F8DDDE52D5EC}</c15:txfldGUID>
                      <c15:f>Aerodynamics!$AU$57</c15:f>
                      <c15:dlblFieldTableCache>
                        <c:ptCount val="1"/>
                      </c15:dlblFieldTableCache>
                    </c15:dlblFTEntry>
                  </c15:dlblFieldTable>
                  <c15:showDataLabelsRange val="0"/>
                </c:ext>
              </c:extLst>
            </c:dLbl>
            <c:dLbl>
              <c:idx val="45"/>
              <c:tx>
                <c:strRef>
                  <c:f>Aerodynamics!$AV$57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{5D2A4F47-8F43-4A41-85E9-8D3510224F00}</c15:txfldGUID>
                      <c15:f>Aerodynamics!$AV$57</c15:f>
                      <c15:dlblFieldTableCache>
                        <c:ptCount val="1"/>
                      </c15:dlblFieldTableCache>
                    </c15:dlblFTEntry>
                  </c15:dlblFieldTable>
                  <c15:showDataLabelsRange val="0"/>
                </c:ext>
              </c:extLst>
            </c:dLbl>
            <c:dLbl>
              <c:idx val="46"/>
              <c:tx>
                <c:strRef>
                  <c:f>Aerodynamics!$AW$57</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{A9BB07F7-2BD2-4286-9831-FA027970EAB0}</c15:txfldGUID>
                      <c15:f>Aerodynamics!$AW$57</c15:f>
                      <c15:dlblFieldTableCache>
                        <c:ptCount val="1"/>
                      </c15:dlblFieldTableCache>
                    </c15:dlblFTEntry>
                  </c15:dlblFieldTable>
                  <c15:showDataLabelsRange val="0"/>
                </c:ext>
              </c:extLst>
            </c:dLbl>
            <c:dLbl>
              <c:idx val="47"/>
              <c:tx>
                <c:strRef>
                  <c:f>Aerodynamics!$AX$57</c:f>
                  <c:strCache>
                    <c:ptCount val="1"/>
                    <c:pt idx="0">
                      <c:v>Subsonic</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{169FAEC2-2F53-4F8E-AA5F-D60B03A240F2}</c15:txfldGUID>
                      <c15:f>Aerodynamics!$AX$57</c15:f>
                      <c15:dlblFieldTableCache>
                        <c:ptCount val="1"/>
                        <c:pt idx="0">
                          <c:v>Subsonic</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Aerodynamics!$C$54:$CO$54</c:f>
              <c:numCache>
                <c:formatCode>General</c:formatCode>
                <c:ptCount val="91"/>
                <c:pt idx="0">
                  <c:v>0</c:v>
                </c:pt>
                <c:pt idx="1">
                  <c:v>1E-3</c:v>
                </c:pt>
                <c:pt idx="2">
                  <c:v>2E-3</c:v>
                </c:pt>
                <c:pt idx="3">
                  <c:v>3.0000000000000001E-3</c:v>
                </c:pt>
                <c:pt idx="4">
                  <c:v>4.0000000000000001E-3</c:v>
                </c:pt>
                <c:pt idx="5">
                  <c:v>5.0000000000000001E-3</c:v>
                </c:pt>
                <c:pt idx="6">
                  <c:v>6.0000000000000001E-3</c:v>
                </c:pt>
                <c:pt idx="7">
                  <c:v>7.0000000000000001E-3</c:v>
                </c:pt>
                <c:pt idx="8">
                  <c:v>8.0000000000000002E-3</c:v>
                </c:pt>
                <c:pt idx="9">
                  <c:v>9.0000000000000011E-3</c:v>
                </c:pt>
                <c:pt idx="10">
                  <c:v>1.0000000000000002E-2</c:v>
                </c:pt>
                <c:pt idx="11">
                  <c:v>1.1000000000000003E-2</c:v>
                </c:pt>
                <c:pt idx="12">
                  <c:v>1.2000000000000004E-2</c:v>
                </c:pt>
                <c:pt idx="13">
                  <c:v>1.3000000000000005E-2</c:v>
                </c:pt>
                <c:pt idx="14">
                  <c:v>1.4000000000000005E-2</c:v>
                </c:pt>
                <c:pt idx="15">
                  <c:v>1.5000000000000006E-2</c:v>
                </c:pt>
                <c:pt idx="16">
                  <c:v>1.6000000000000007E-2</c:v>
                </c:pt>
                <c:pt idx="17">
                  <c:v>1.7000000000000008E-2</c:v>
                </c:pt>
                <c:pt idx="18">
                  <c:v>1.8000000000000009E-2</c:v>
                </c:pt>
                <c:pt idx="19">
                  <c:v>1.900000000000001E-2</c:v>
                </c:pt>
                <c:pt idx="20">
                  <c:v>2.0000000000000011E-2</c:v>
                </c:pt>
                <c:pt idx="21">
                  <c:v>2.1000000000000012E-2</c:v>
                </c:pt>
                <c:pt idx="22">
                  <c:v>2.2000000000000013E-2</c:v>
                </c:pt>
                <c:pt idx="23">
                  <c:v>2.3000000000000013E-2</c:v>
                </c:pt>
                <c:pt idx="24">
                  <c:v>2.4000000000000014E-2</c:v>
                </c:pt>
                <c:pt idx="25">
                  <c:v>2.5000000000000015E-2</c:v>
                </c:pt>
                <c:pt idx="26">
                  <c:v>2.6000000000000016E-2</c:v>
                </c:pt>
                <c:pt idx="27">
                  <c:v>2.7000000000000017E-2</c:v>
                </c:pt>
                <c:pt idx="28">
                  <c:v>2.8000000000000018E-2</c:v>
                </c:pt>
                <c:pt idx="29">
                  <c:v>2.9000000000000019E-2</c:v>
                </c:pt>
                <c:pt idx="30">
                  <c:v>3.000000000000002E-2</c:v>
                </c:pt>
                <c:pt idx="31">
                  <c:v>3.1000000000000021E-2</c:v>
                </c:pt>
                <c:pt idx="32">
                  <c:v>3.2000000000000021E-2</c:v>
                </c:pt>
                <c:pt idx="33">
                  <c:v>3.3000000000000022E-2</c:v>
                </c:pt>
                <c:pt idx="34">
                  <c:v>3.4000000000000023E-2</c:v>
                </c:pt>
                <c:pt idx="35">
                  <c:v>3.5000000000000024E-2</c:v>
                </c:pt>
                <c:pt idx="36">
                  <c:v>3.6000000000000025E-2</c:v>
                </c:pt>
                <c:pt idx="37">
                  <c:v>3.7000000000000026E-2</c:v>
                </c:pt>
                <c:pt idx="38">
                  <c:v>3.8000000000000027E-2</c:v>
                </c:pt>
                <c:pt idx="39">
                  <c:v>3.9000000000000028E-2</c:v>
                </c:pt>
                <c:pt idx="40">
                  <c:v>4.0000000000000029E-2</c:v>
                </c:pt>
                <c:pt idx="41">
                  <c:v>4.1000000000000029E-2</c:v>
                </c:pt>
                <c:pt idx="42">
                  <c:v>4.200000000000003E-2</c:v>
                </c:pt>
                <c:pt idx="43">
                  <c:v>4.3000000000000031E-2</c:v>
                </c:pt>
                <c:pt idx="44">
                  <c:v>4.4000000000000032E-2</c:v>
                </c:pt>
                <c:pt idx="45">
                  <c:v>4.5000000000000033E-2</c:v>
                </c:pt>
                <c:pt idx="46">
                  <c:v>4.6000000000000034E-2</c:v>
                </c:pt>
                <c:pt idx="47">
                  <c:v>4.7000000000000035E-2</c:v>
                </c:pt>
                <c:pt idx="48">
                  <c:v>4.8000000000000036E-2</c:v>
                </c:pt>
                <c:pt idx="49">
                  <c:v>4.9000000000000037E-2</c:v>
                </c:pt>
                <c:pt idx="50">
                  <c:v>5.0000000000000037E-2</c:v>
                </c:pt>
                <c:pt idx="51">
                  <c:v>5.1000000000000038E-2</c:v>
                </c:pt>
                <c:pt idx="52">
                  <c:v>5.2000000000000039E-2</c:v>
                </c:pt>
                <c:pt idx="53">
                  <c:v>5.300000000000004E-2</c:v>
                </c:pt>
                <c:pt idx="54">
                  <c:v>5.4000000000000041E-2</c:v>
                </c:pt>
                <c:pt idx="55">
                  <c:v>5.5000000000000042E-2</c:v>
                </c:pt>
                <c:pt idx="56">
                  <c:v>5.6000000000000043E-2</c:v>
                </c:pt>
                <c:pt idx="57">
                  <c:v>5.7000000000000044E-2</c:v>
                </c:pt>
                <c:pt idx="58">
                  <c:v>5.8000000000000045E-2</c:v>
                </c:pt>
                <c:pt idx="59">
                  <c:v>5.9000000000000045E-2</c:v>
                </c:pt>
                <c:pt idx="60">
                  <c:v>6.0000000000000046E-2</c:v>
                </c:pt>
                <c:pt idx="61">
                  <c:v>6.1000000000000047E-2</c:v>
                </c:pt>
                <c:pt idx="62">
                  <c:v>6.2000000000000048E-2</c:v>
                </c:pt>
                <c:pt idx="63">
                  <c:v>6.3000000000000042E-2</c:v>
                </c:pt>
                <c:pt idx="64">
                  <c:v>6.4000000000000043E-2</c:v>
                </c:pt>
                <c:pt idx="65">
                  <c:v>6.5000000000000044E-2</c:v>
                </c:pt>
                <c:pt idx="66">
                  <c:v>6.6000000000000045E-2</c:v>
                </c:pt>
                <c:pt idx="67">
                  <c:v>6.7000000000000046E-2</c:v>
                </c:pt>
                <c:pt idx="68">
                  <c:v>6.8000000000000047E-2</c:v>
                </c:pt>
                <c:pt idx="69">
                  <c:v>6.9000000000000047E-2</c:v>
                </c:pt>
                <c:pt idx="70">
                  <c:v>7.0000000000000048E-2</c:v>
                </c:pt>
                <c:pt idx="71">
                  <c:v>7.1000000000000049E-2</c:v>
                </c:pt>
                <c:pt idx="72">
                  <c:v>7.200000000000005E-2</c:v>
                </c:pt>
                <c:pt idx="73">
                  <c:v>7.3000000000000051E-2</c:v>
                </c:pt>
                <c:pt idx="74">
                  <c:v>7.4000000000000052E-2</c:v>
                </c:pt>
                <c:pt idx="75">
                  <c:v>7.5000000000000053E-2</c:v>
                </c:pt>
                <c:pt idx="76">
                  <c:v>7.6000000000000054E-2</c:v>
                </c:pt>
                <c:pt idx="77">
                  <c:v>7.7000000000000055E-2</c:v>
                </c:pt>
                <c:pt idx="78">
                  <c:v>7.8000000000000055E-2</c:v>
                </c:pt>
                <c:pt idx="79">
                  <c:v>7.9000000000000056E-2</c:v>
                </c:pt>
                <c:pt idx="80">
                  <c:v>8.0000000000000057E-2</c:v>
                </c:pt>
                <c:pt idx="81">
                  <c:v>8.1000000000000058E-2</c:v>
                </c:pt>
                <c:pt idx="82">
                  <c:v>8.2000000000000059E-2</c:v>
                </c:pt>
                <c:pt idx="83">
                  <c:v>8.300000000000006E-2</c:v>
                </c:pt>
                <c:pt idx="84">
                  <c:v>8.4000000000000061E-2</c:v>
                </c:pt>
                <c:pt idx="85">
                  <c:v>8.5000000000000062E-2</c:v>
                </c:pt>
                <c:pt idx="86">
                  <c:v>8.6000000000000063E-2</c:v>
                </c:pt>
                <c:pt idx="87">
                  <c:v>8.7000000000000063E-2</c:v>
                </c:pt>
                <c:pt idx="88">
                  <c:v>8.8000000000000064E-2</c:v>
                </c:pt>
                <c:pt idx="89">
                  <c:v>8.9000000000000065E-2</c:v>
                </c:pt>
                <c:pt idx="90">
                  <c:v>9.0000000000000066E-2</c:v>
                </c:pt>
              </c:numCache>
            </c:numRef>
          </c:xVal>
          <c:yVal>
            <c:numRef>
              <c:f>Aerodynamics!$C$55:$CO$55</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2.0757609171934473E-2</c:v>
                </c:pt>
                <c:pt idx="15">
                  <c:v>7.3874397353064419E-2</c:v>
                </c:pt>
                <c:pt idx="16">
                  <c:v>0.10239128297868977</c:v>
                </c:pt>
                <c:pt idx="17">
                  <c:v>0.12454125049864322</c:v>
                </c:pt>
                <c:pt idx="18">
                  <c:v>0.14330761082897681</c:v>
                </c:pt>
                <c:pt idx="19">
                  <c:v>0.1598862707278306</c:v>
                </c:pt>
                <c:pt idx="20">
                  <c:v>0.17490045115149594</c:v>
                </c:pt>
                <c:pt idx="21">
                  <c:v>0.18872391490942661</c:v>
                </c:pt>
                <c:pt idx="22">
                  <c:v>0.20160174677934753</c:v>
                </c:pt>
                <c:pt idx="23">
                  <c:v>0.21370496613375142</c:v>
                </c:pt>
                <c:pt idx="24">
                  <c:v>0.22515852370268266</c:v>
                </c:pt>
                <c:pt idx="25">
                  <c:v>0.23605700379720823</c:v>
                </c:pt>
                <c:pt idx="26">
                  <c:v>0.24647404992708433</c:v>
                </c:pt>
                <c:pt idx="27">
                  <c:v>0.25646833241786893</c:v>
                </c:pt>
                <c:pt idx="28">
                  <c:v>0.26608749271423149</c:v>
                </c:pt>
                <c:pt idx="29">
                  <c:v>0.2753708445436624</c:v>
                </c:pt>
                <c:pt idx="30">
                  <c:v>0.28435127970598895</c:v>
                </c:pt>
                <c:pt idx="31">
                  <c:v>0.29305664728201819</c:v>
                </c:pt>
                <c:pt idx="32">
                  <c:v>0.30151077387370573</c:v>
                </c:pt>
                <c:pt idx="33">
                  <c:v>0.30973423286369972</c:v>
                </c:pt>
                <c:pt idx="34">
                  <c:v>0.31774493426868072</c:v>
                </c:pt>
                <c:pt idx="35">
                  <c:v>0.32555858382041153</c:v>
                </c:pt>
                <c:pt idx="36">
                  <c:v>0.3331890450553493</c:v>
                </c:pt>
                <c:pt idx="37">
                  <c:v>0.34064862834105064</c:v>
                </c:pt>
                <c:pt idx="38">
                  <c:v>0.34794832408905629</c:v>
                </c:pt>
                <c:pt idx="39">
                  <c:v>0.35509799278808468</c:v>
                </c:pt>
                <c:pt idx="40">
                  <c:v>0.36210652124460602</c:v>
                </c:pt>
                <c:pt idx="41">
                  <c:v>0.36898195209740808</c:v>
                </c:pt>
                <c:pt idx="42">
                  <c:v>0.37573159199002371</c:v>
                </c:pt>
                <c:pt idx="43">
                  <c:v>0.38236210254822756</c:v>
                </c:pt>
                <c:pt idx="44">
                  <c:v>0.38887957738976853</c:v>
                </c:pt>
                <c:pt idx="45">
                  <c:v>0.3952896077012254</c:v>
                </c:pt>
                <c:pt idx="46">
                  <c:v>0.40159733839049822</c:v>
                </c:pt>
                <c:pt idx="47">
                  <c:v>0.40780751641929797</c:v>
                </c:pt>
                <c:pt idx="48">
                  <c:v>0.41392453260687473</c:v>
                </c:pt>
                <c:pt idx="49">
                  <c:v>0.41995245795156783</c:v>
                </c:pt>
                <c:pt idx="50">
                  <c:v>0.42589507532408383</c:v>
                </c:pt>
                <c:pt idx="51">
                  <c:v>0.43175590723353247</c:v>
                </c:pt>
                <c:pt idx="52">
                  <c:v>0.43753824024511773</c:v>
                </c:pt>
                <c:pt idx="53">
                  <c:v>0.4432451465301544</c:v>
                </c:pt>
                <c:pt idx="54">
                  <c:v>0.44887950294960194</c:v>
                </c:pt>
                <c:pt idx="55">
                  <c:v>0.45444400800761514</c:v>
                </c:pt>
                <c:pt idx="56">
                  <c:v>0.45994119695866453</c:v>
                </c:pt>
                <c:pt idx="57">
                  <c:v>0.46537345530822094</c:v>
                </c:pt>
                <c:pt idx="58">
                  <c:v>0.47074303091098058</c:v>
                </c:pt>
                <c:pt idx="59">
                  <c:v>0.47605204484068764</c:v>
                </c:pt>
                <c:pt idx="60">
                  <c:v>0.48130250118064394</c:v>
                </c:pt>
                <c:pt idx="61">
                  <c:v>0.48649629586306964</c:v>
                </c:pt>
                <c:pt idx="62">
                  <c:v>0.49163522466787418</c:v>
                </c:pt>
                <c:pt idx="63">
                  <c:v>0.49672099047651969</c:v>
                </c:pt>
                <c:pt idx="64">
                  <c:v>0.50175520986405153</c:v>
                </c:pt>
                <c:pt idx="65">
                  <c:v>0.50673941910163456</c:v>
                </c:pt>
                <c:pt idx="66">
                  <c:v>0.51167507963277414</c:v>
                </c:pt>
                <c:pt idx="67">
                  <c:v>0.51656358307854944</c:v>
                </c:pt>
                <c:pt idx="68">
                  <c:v>0.52140625582044287</c:v>
                </c:pt>
                <c:pt idx="69">
                  <c:v>0.52620436320353403</c:v>
                </c:pt>
                <c:pt idx="70">
                  <c:v>0.53095911339780244</c:v>
                </c:pt>
                <c:pt idx="71">
                  <c:v>0.53567166095092633</c:v>
                </c:pt>
                <c:pt idx="72">
                  <c:v>0.54034311006217872</c:v>
                </c:pt>
                <c:pt idx="73">
                  <c:v>0.54497451760372384</c:v>
                </c:pt>
                <c:pt idx="74">
                  <c:v>0.54956689591273156</c:v>
                </c:pt>
                <c:pt idx="75">
                  <c:v>0.55412121537520909</c:v>
                </c:pt>
                <c:pt idx="76">
                  <c:v>0.55863840682022792</c:v>
                </c:pt>
                <c:pt idx="77">
                  <c:v>0.56311936374128191</c:v>
                </c:pt>
                <c:pt idx="78">
                  <c:v>0.56756494435978855</c:v>
                </c:pt>
                <c:pt idx="79">
                  <c:v>0.57197597354423335</c:v>
                </c:pt>
                <c:pt idx="80">
                  <c:v>0.5763532445971109</c:v>
                </c:pt>
                <c:pt idx="81">
                  <c:v>0.58069752092062599</c:v>
                </c:pt>
                <c:pt idx="82">
                  <c:v>0.58500953757105922</c:v>
                </c:pt>
                <c:pt idx="83">
                  <c:v>0.5892900027107606</c:v>
                </c:pt>
                <c:pt idx="84">
                  <c:v>0.59353959896589192</c:v>
                </c:pt>
                <c:pt idx="85">
                  <c:v>0.5977589846972905</c:v>
                </c:pt>
                <c:pt idx="86">
                  <c:v>0.60194879519115174</c:v>
                </c:pt>
                <c:pt idx="87">
                  <c:v>0.60610964377563148</c:v>
                </c:pt>
                <c:pt idx="88">
                  <c:v>0.61024212286892043</c:v>
                </c:pt>
                <c:pt idx="89">
                  <c:v>0.61434680496386584</c:v>
                </c:pt>
                <c:pt idx="90">
                  <c:v>0.61842424355377101</c:v>
                </c:pt>
              </c:numCache>
            </c:numRef>
          </c:yVal>
          <c:smooth val="0"/>
        </c:ser>
        <c:ser>
          <c:idx val="1"/>
          <c:order val="1"/>
          <c:spPr>
            <a:ln w="12700">
              <a:solidFill>
                <a:srgbClr val="00FF00"/>
              </a:solidFill>
              <a:prstDash val="solid"/>
            </a:ln>
          </c:spPr>
          <c:marker>
            <c:symbol val="none"/>
          </c:marker>
          <c:dLbls>
            <c:dLbl>
              <c:idx val="0"/>
              <c:tx>
                <c:strRef>
                  <c:f>UCAV!$C$60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{25A84D89-E585-4640-8A38-9F4B9CFDCEF0}</c15:txfldGUID>
                      <c15:f>UCAV!$C$60</c15:f>
                      <c15:dlblFieldTableCache>
                        <c:ptCount val="1"/>
                      </c15:dlblFieldTableCache>
                    </c15:dlblFTEntry>
                  </c15:dlblFieldTable>
                  <c15:showDataLabelsRange val="0"/>
                </c:ext>
              </c:extLst>
            </c:dLbl>
            <c:dLbl>
              <c:idx val="1"/>
              <c:tx>
                <c:strRef>
                  <c:f>UCAV!$D$60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{DAB2613B-2334-44C0-BDC2-1D8483A08446}</c15:txfldGUID>
                      <c15:f>UCAV!$D$60</c15:f>
                      <c15:dlblFieldTableCache>
                        <c:ptCount val="1"/>
                      </c15:dlblFieldTableCache>
                    </c15:dlblFTEntry>
                  </c15:dlblFieldTable>
                  <c15:showDataLabelsRange val="0"/>
                </c:ext>
              </c:extLst>
            </c:dLbl>
            <c:dLbl>
              <c:idx val="2"/>
              <c:tx>
                <c:strRef>
                  <c:f>UCAV!$E$60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{7F63B0C1-FB46-488C-96E5-2A860CFC6CBD}</c15:txfldGUID>
                      <c15:f>UCAV!$E$60</c15:f>
                      <c15:dlblFieldTableCache>
                        <c:ptCount val="1"/>
                      </c15:dlblFieldTableCache>
                    </c15:dlblFTEntry>
                  </c15:dlblFieldTable>
                  <c15:showDataLabelsRange val="0"/>
                </c:ext>
              </c:extLst>
            </c:dLbl>
            <c:dLbl>
              <c:idx val="3"/>
              <c:tx>
                <c:strRef>
                  <c:f>UCAV!$F$60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{7E203DBB-4710-42B0-8D06-D4747AFF454B}</c15:txfldGUID>
                      <c15:f>UCAV!$F$60</c15:f>
                      <c15:dlblFieldTableCache>
                        <c:ptCount val="1"/>
                      </c15:dlblFieldTableCache>
                    </c15:dlblFTEntry>
                  </c15:dlblFieldTable>
                  <c15:showDataLabelsRange val="0"/>
                </c:ext>
              </c:extLst>
            </c:dLbl>
            <c:dLbl>
              <c:idx val="4"/>
              <c:tx>
                <c:strRef>
                  <c:f>UCAV!$G$60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{AA9931B8-F2EC-4A95-8F9E-86EB6A131B11}</c15:txfldGUID>
                      <c15:f>UCAV!$G$60</c15:f>
                      <c15:dlblFieldTableCache>
                        <c:ptCount val="1"/>
                      </c15:dlblFieldTableCache>
                    </c15:dlblFTEntry>
                  </c15:dlblFieldTable>
                  <c15:showDataLabelsRange val="0"/>
                </c:ext>
              </c:extLst>
            </c:dLbl>
            <c:dLbl>
              <c:idx val="5"/>
              <c:tx>
                <c:strRef>
                  <c:f>UCAV!$H$60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{76596445-B5A0-4665-B5A4-B4B901B0B8ED}</c15:txfldGUID>
                      <c15:f>UCAV!$H$60</c15:f>
                      <c15:dlblFieldTableCache>
                        <c:ptCount val="1"/>
                      </c15:dlblFieldTableCache>
                    </c15:dlblFTEntry>
                  </c15:dlblFieldTable>
                  <c15:showDataLabelsRange val="0"/>
                </c:ext>
              </c:extLst>
            </c:dLbl>
            <c:dLbl>
              <c:idx val="6"/>
              <c:tx>
                <c:strRef>
                  <c:f>UCAV!$I$60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{8A943E47-D588-4DC0-8B28-76FA86FBEE29}</c15:txfldGUID>
                      <c15:f>UCAV!$I$60</c15:f>
                      <c15:dlblFieldTableCache>
                        <c:ptCount val="1"/>
                      </c15:dlblFieldTableCache>
                    </c15:dlblFTEntry>
                  </c15:dlblFieldTable>
                  <c15:showDataLabelsRange val="0"/>
                </c:ext>
              </c:extLst>
            </c:dLbl>
            <c:dLbl>
              <c:idx val="7"/>
              <c:tx>
                <c:strRef>
                  <c:f>UCAV!$J$60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{B6245E46-4F7E-46F3-BCB2-CCA2B1E4EB55}</c15:txfldGUID>
                      <c15:f>UCAV!$J$60</c15:f>
                      <c15:dlblFieldTableCache>
                        <c:ptCount val="1"/>
                      </c15:dlblFieldTableCache>
                    </c15:dlblFTEntry>
                  </c15:dlblFieldTable>
                  <c15:showDataLabelsRange val="0"/>
                </c:ext>
              </c:extLst>
            </c:dLbl>
            <c:dLbl>
              <c:idx val="8"/>
              <c:tx>
                <c:strRef>
                  <c:f>UCAV!$K$60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{6B18F2AC-8D41-49CC-9ED5-54CC4B4E96AE}</c15:txfldGUID>
                      <c15:f>UCAV!$K$60</c15:f>
                      <c15:dlblFieldTableCache>
                        <c:ptCount val="1"/>
                      </c15:dlblFieldTableCache>
                    </c15:dlblFTEntry>
                  </c15:dlblFieldTable>
                  <c15:showDataLabelsRange val="0"/>
                </c:ext>
              </c:extLst>
            </c:dLbl>
            <c:dLbl>
              <c:idx val="9"/>
              <c:tx>
                <c:strRef>
                  <c:f>UCAV!$L$60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{5166AA96-4B2D-49EC-92E7-15FD9148B530}</c15:txfldGUID>
                      <c15:f>UCAV!$L$60</c15:f>
                      <c15:dlblFieldTableCache>
                        <c:ptCount val="1"/>
                      </c15:dlblFieldTableCache>
                    </c15:dlblFTEntry>
                  </c15:dlblFieldTable>
                  <c15:showDataLabelsRange val="0"/>
                </c:ext>
              </c:extLst>
            </c:dLbl>
            <c:dLbl>
              <c:idx val="10"/>
              <c:tx>
                <c:strRef>
                  <c:f>UCAV!$M$60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{EFE3132B-F859-49F4-BDF6-DE7B432868CD}</c15:txfldGUID>
                      <c15:f>UCAV!$M$60</c15:f>
                      <c15:dlblFieldTableCache>
                        <c:ptCount val="1"/>
                      </c15:dlblFieldTableCache>
                    </c15:dlblFTEntry>
                  </c15:dlblFieldTable>
                  <c15:showDataLabelsRange val="0"/>
                </c:ext>
              </c:extLst>
            </c:dLbl>
            <c:dLbl>
              <c:idx val="11"/>
              <c:tx>
                <c:strRef>
                  <c:f>UCAV!$N$60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{F5F6E7F5-A9E6-41B3-91F2-D5BA22E054F6}</c15:txfldGUID>
                      <c15:f>UCAV!$N$60</c15:f>
                      <c15:dlblFieldTableCache>
                        <c:ptCount val="1"/>
                      </c15:dlblFieldTableCache>
                    </c15:dlblFTEntry>
                  </c15:dlblFieldTable>
                  <c15:showDataLabelsRange val="0"/>
                </c:ext>
              </c:extLst>
            </c:dLbl>
            <c:dLbl>
              <c:idx val="12"/>
              <c:tx>
                <c:strRef>
                  <c:f>UCAV!$O$60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{1FE6D326-3DA1-41B8-BC65-11E8AA8BBE83}</c15:txfldGUID>
                      <c15:f>UCAV!$O$60</c15:f>
                      <c15:dlblFieldTableCache>
                        <c:ptCount val="1"/>
                      </c15:dlblFieldTableCache>
                    </c15:dlblFTEntry>
                  </c15:dlblFieldTable>
                  <c15:showDataLabelsRange val="0"/>
                </c:ext>
              </c:extLst>
            </c:dLbl>
            <c:dLbl>
              <c:idx val="13"/>
              <c:tx>
                <c:strRef>
                  <c:f>UCAV!$P$60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{1E69317A-D513-443A-ADCC-0A0413CC7A7B}</c15:txfldGUID>
                      <c15:f>UCAV!$P$60</c15:f>
                      <c15:dlblFieldTableCache>
                        <c:ptCount val="1"/>
                      </c15:dlblFieldTableCache>
                    </c15:dlblFTEntry>
                  </c15:dlblFieldTable>
                  <c15:showDataLabelsRange val="0"/>
                </c:ext>
              </c:extLst>
            </c:dLbl>
            <c:dLbl>
              <c:idx val="14"/>
              <c:tx>
                <c:strRef>
                  <c:f>UCAV!$Q$60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{26ADC665-3C53-4D01-A4BB-589201193CFF}</c15:txfldGUID>
                      <c15:f>UCAV!$Q$60</c15:f>
                      <c15:dlblFieldTableCache>
                        <c:ptCount val="1"/>
                      </c15:dlblFieldTableCache>
                    </c15:dlblFTEntry>
                  </c15:dlblFieldTable>
                  <c15:showDataLabelsRange val="0"/>
                </c:ext>
              </c:extLst>
            </c:dLbl>
            <c:dLbl>
              <c:idx val="15"/>
              <c:tx>
                <c:strRef>
                  <c:f>UCAV!$R$60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{C3AACFFE-53E8-485D-8122-98D3D303F90C}</c15:txfldGUID>
                      <c15:f>UCAV!$R$60</c15:f>
                      <c15:dlblFieldTableCache>
                        <c:ptCount val="1"/>
                      </c15:dlblFieldTableCache>
                    </c15:dlblFTEntry>
                  </c15:dlblFieldTable>
                  <c15:showDataLabelsRange val="0"/>
                </c:ext>
              </c:extLst>
            </c:dLbl>
            <c:dLbl>
              <c:idx val="16"/>
              <c:tx>
                <c:strRef>
                  <c:f>UCAV!$S$60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{C7C84B64-7A4C-4B78-8219-046BC8DB4C1D}</c15:txfldGUID>
                      <c15:f>UCAV!$S$60</c15:f>
                      <c15:dlblFieldTableCache>
                        <c:ptCount val="1"/>
                      </c15:dlblFieldTableCache>
                    </c15:dlblFTEntry>
                  </c15:dlblFieldTable>
                  <c15:showDataLabelsRange val="0"/>
                </c:ext>
              </c:extLst>
            </c:dLbl>
            <c:dLbl>
              <c:idx val="17"/>
              <c:tx>
                <c:strRef>
                  <c:f>UCAV!$T$60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{BBE0BF83-494D-4829-A00B-3864AFEE23C6}</c15:txfldGUID>
                      <c15:f>UCAV!$T$60</c15:f>
                      <c15:dlblFieldTableCache>
                        <c:ptCount val="1"/>
                      </c15:dlblFieldTableCache>
                    </c15:dlblFTEntry>
                  </c15:dlblFieldTable>
                  <c15:showDataLabelsRange val="0"/>
                </c:ext>
              </c:extLst>
            </c:dLbl>
            <c:dLbl>
              <c:idx val="18"/>
              <c:tx>
                <c:strRef>
                  <c:f>UCAV!$U$60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{2360CD9C-0397-48D7-B99F-E663A2C99565}</c15:txfldGUID>
                      <c15:f>UCAV!$U$60</c15:f>
                      <c15:dlblFieldTableCache>
                        <c:ptCount val="1"/>
                      </c15:dlblFieldTableCache>
                    </c15:dlblFTEntry>
                  </c15:dlblFieldTable>
                  <c15:showDataLabelsRange val="0"/>
                </c:ext>
              </c:extLst>
            </c:dLbl>
            <c:dLbl>
              <c:idx val="19"/>
              <c:tx>
                <c:strRef>
                  <c:f>UCAV!$V$60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{12CB4395-4B1A-4AD2-98AE-3AACAAA56AB6}</c15:txfldGUID>
                      <c15:f>UCAV!$V$60</c15:f>
                      <c15:dlblFieldTableCache>
                        <c:ptCount val="1"/>
                      </c15:dlblFieldTableCache>
                    </c15:dlblFTEntry>
                  </c15:dlblFieldTable>
                  <c15:showDataLabelsRange val="0"/>
                </c:ext>
              </c:extLst>
            </c:dLbl>
            <c:dLbl>
              <c:idx val="20"/>
              <c:tx>
                <c:strRef>
                  <c:f>UCAV!$W$60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{E6B31443-ECC4-460F-B644-BDB11B41097A}</c15:txfldGUID>
                      <c15:f>UCAV!$W$60</c15:f>
                      <c15:dlblFieldTableCache>
                        <c:ptCount val="1"/>
                      </c15:dlblFieldTableCache>
                    </c15:dlblFTEntry>
                  </c15:dlblFieldTable>
                  <c15:showDataLabelsRange val="0"/>
                </c:ext>
              </c:extLst>
            </c:dLbl>
            <c:dLbl>
              <c:idx val="21"/>
              <c:tx>
                <c:strRef>
                  <c:f>UCAV!$X$60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{05F9C57E-6861-440F-BB70-43B08408DCD2}</c15:txfldGUID>
                      <c15:f>UCAV!$X$60</c15:f>
                      <c15:dlblFieldTableCache>
                        <c:ptCount val="1"/>
                      </c15:dlblFieldTableCache>
                    </c15:dlblFTEntry>
                  </c15:dlblFieldTable>
                  <c15:showDataLabelsRange val="0"/>
                </c:ext>
              </c:extLst>
            </c:dLbl>
            <c:dLbl>
              <c:idx val="22"/>
              <c:tx>
                <c:strRef>
                  <c:f>UCAV!$Y$60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{49780197-B5D2-44E8-92C5-76DB17A197E4}</c15:txfldGUID>
                      <c15:f>UCAV!$Y$60</c15:f>
                      <c15:dlblFieldTableCache>
                        <c:ptCount val="1"/>
                      </c15:dlblFieldTableCache>
                    </c15:dlblFTEntry>
                  </c15:dlblFieldTable>
                  <c15:showDataLabelsRange val="0"/>
                </c:ext>
              </c:extLst>
            </c:dLbl>
            <c:dLbl>
              <c:idx val="23"/>
              <c:tx>
                <c:strRef>
                  <c:f>UCAV!$Z$60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{32B196CE-CE8D-4900-9C5F-46D6F5CCD3F8}</c15:txfldGUID>
                      <c15:f>UCAV!$Z$60</c15:f>
                      <c15:dlblFieldTableCache>
                        <c:ptCount val="1"/>
                      </c15:dlblFieldTableCache>
                    </c15:dlblFTEntry>
                  </c15:dlblFieldTable>
                  <c15:showDataLabelsRange val="0"/>
                </c:ext>
              </c:extLst>
            </c:dLbl>
            <c:dLbl>
              <c:idx val="24"/>
              <c:tx>
                <c:strRef>
                  <c:f>UCAV!$AA$60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{CFEE05D7-DDD3-47E7-ADD5-9C96AA710701}</c15:txfldGUID>
                      <c15:f>UCAV!$AA$60</c15:f>
                      <c15:dlblFieldTableCache>
                        <c:ptCount val="1"/>
                      </c15:dlblFieldTableCache>
                    </c15:dlblFTEntry>
                  </c15:dlblFieldTable>
                  <c15:showDataLabelsRange val="0"/>
                </c:ext>
              </c:extLst>
            </c:dLbl>
            <c:dLbl>
              <c:idx val="25"/>
              <c:tx>
                <c:strRef>
                  <c:f>UCAV!$AB$60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{860EF237-E025-4B4A-8205-CE063AE6B4AC}</c15:txfldGUID>
                      <c15:f>UCAV!$AB$60</c15:f>
                      <c15:dlblFieldTableCache>
                        <c:ptCount val="1"/>
                      </c15:dlblFieldTableCache>
                    </c15:dlblFTEntry>
                  </c15:dlblFieldTable>
                  <c15:showDataLabelsRange val="0"/>
                </c:ext>
              </c:extLst>
            </c:dLbl>
            <c:dLbl>
              <c:idx val="26"/>
              <c:tx>
                <c:strRef>
                  <c:f>UCAV!$AC$60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{B788D347-7C7D-47FE-A93B-6259114DCC3B}</c15:txfldGUID>
                      <c15:f>UCAV!$AC$60</c15:f>
                      <c15:dlblFieldTableCache>
                        <c:ptCount val="1"/>
                      </c15:dlblFieldTableCache>
                    </c15:dlblFTEntry>
                  </c15:dlblFieldTable>
                  <c15:showDataLabelsRange val="0"/>
                </c:ext>
              </c:extLst>
            </c:dLbl>
            <c:dLbl>
              <c:idx val="27"/>
              <c:tx>
                <c:strRef>
                  <c:f>UCAV!$AD$60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{5CE8D169-B0EB-4802-9E23-2A713DF1EA9A}</c15:txfldGUID>
                      <c15:f>UCAV!$AD$60</c15:f>
                      <c15:dlblFieldTableCache>
                        <c:ptCount val="1"/>
                      </c15:dlblFieldTableCache>
                    </c15:dlblFTEntry>
                  </c15:dlblFieldTable>
                  <c15:showDataLabelsRange val="0"/>
                </c:ext>
              </c:extLst>
            </c:dLbl>
            <c:dLbl>
              <c:idx val="28"/>
              <c:tx>
                <c:strRef>
                  <c:f>UCAV!$AE$60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{EBE5A8D0-115C-4298-9525-A484B0A4EBF6}</c15:txfldGUID>
                      <c15:f>UCAV!$AE$60</c15:f>
                      <c15:dlblFieldTableCache>
                        <c:ptCount val="1"/>
                      </c15:dlblFieldTableCache>
                    </c15:dlblFTEntry>
                  </c15:dlblFieldTable>
                  <c15:showDataLabelsRange val="0"/>
                </c:ext>
              </c:extLst>
            </c:dLbl>
            <c:dLbl>
              <c:idx val="29"/>
              <c:tx>
                <c:strRef>
                  <c:f>UCAV!$AF$60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{AB2D06C5-ACBE-4646-BC58-79D8A185AF63}</c15:txfldGUID>
                      <c15:f>UCAV!$AF$60</c15:f>
                      <c15:dlblFieldTableCache>
                        <c:ptCount val="1"/>
                      </c15:dlblFieldTableCache>
                    </c15:dlblFTEntry>
                  </c15:dlblFieldTable>
                  <c15:showDataLabelsRange val="0"/>
                </c:ext>
              </c:extLst>
            </c:dLbl>
            <c:dLbl>
              <c:idx val="30"/>
              <c:tx>
                <c:strRef>
                  <c:f>UCAV!$AG$60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{01C04D49-3265-481B-A8A1-48624987312A}</c15:txfldGUID>
                      <c15:f>UCAV!$AG$60</c15:f>
                      <c15:dlblFieldTableCache>
                        <c:ptCount val="1"/>
                      </c15:dlblFieldTableCache>
                    </c15:dlblFTEntry>
                  </c15:dlblFieldTable>
                  <c15:showDataLabelsRange val="0"/>
                </c:ext>
              </c:extLst>
            </c:dLbl>
            <c:dLbl>
              <c:idx val="31"/>
              <c:tx>
                <c:strRef>
                  <c:f>UCAV!$AH$60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{2B8D185A-90FF-4499-B594-24F849899C41}</c15:txfldGUID>
                      <c15:f>UCAV!$AH$60</c15:f>
                      <c15:dlblFieldTableCache>
                        <c:ptCount val="1"/>
                      </c15:dlblFieldTableCache>
                    </c15:dlblFTEntry>
                  </c15:dlblFieldTable>
                  <c15:showDataLabelsRange val="0"/>
                </c:ext>
              </c:extLst>
            </c:dLbl>
            <c:dLbl>
              <c:idx val="32"/>
              <c:tx>
                <c:strRef>
                  <c:f>UCAV!$AI$60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{D6FC0C20-FC7B-417F-9907-49C4CC87198E}</c15:txfldGUID>
                      <c15:f>UCAV!$AI$60</c15:f>
                      <c15:dlblFieldTableCache>
                        <c:ptCount val="1"/>
                      </c15:dlblFieldTableCache>
                    </c15:dlblFTEntry>
                  </c15:dlblFieldTable>
                  <c15:showDataLabelsRange val="0"/>
                </c:ext>
              </c:extLst>
            </c:dLbl>
            <c:dLbl>
              <c:idx val="33"/>
              <c:tx>
                <c:strRef>
                  <c:f>UCAV!$AJ$60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{28C493E5-0231-47C0-895E-0F064233B66E}</c15:txfldGUID>
                      <c15:f>UCAV!$AJ$60</c15:f>
                      <c15:dlblFieldTableCache>
                        <c:ptCount val="1"/>
                      </c15:dlblFieldTableCache>
                    </c15:dlblFTEntry>
                  </c15:dlblFieldTable>
                  <c15:showDataLabelsRange val="0"/>
                </c:ext>
              </c:extLst>
            </c:dLbl>
            <c:dLbl>
              <c:idx val="34"/>
              <c:tx>
                <c:strRef>
                  <c:f>UCAV!$AK$60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{C44C8BF0-2884-4824-AB9E-3EB292B74B6C}</c15:txfldGUID>
                      <c15:f>UCAV!$AK$60</c15:f>
                      <c15:dlblFieldTableCache>
                        <c:ptCount val="1"/>
                      </c15:dlblFieldTableCache>
                    </c15:dlblFTEntry>
                  </c15:dlblFieldTable>
                  <c15:showDataLabelsRange val="0"/>
                </c:ext>
              </c:extLst>
            </c:dLbl>
            <c:dLbl>
              <c:idx val="35"/>
              <c:tx>
                <c:strRef>
                  <c:f>UCAV!$AL$60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{A7E2B772-19E0-4963-B01C-DE80CAFA58F3}</c15:txfldGUID>
                      <c15:f>UCAV!$AL$60</c15:f>
                      <c15:dlblFieldTableCache>
                        <c:ptCount val="1"/>
                      </c15:dlblFieldTableCache>
                    </c15:dlblFTEntry>
                  </c15:dlblFieldTable>
                  <c15:showDataLabelsRange val="0"/>
                </c:ext>
              </c:extLst>
            </c:dLbl>
            <c:dLbl>
              <c:idx val="36"/>
              <c:tx>
                <c:strRef>
                  <c:f>UCAV!$AM$60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{31D3F51A-0774-4570-8FDA-B4E6843729F2}</c15:txfldGUID>
                      <c15:f>UCAV!$AM$60</c15:f>
                      <c15:dlblFieldTableCache>
                        <c:ptCount val="1"/>
                      </c15:dlblFieldTableCache>
                    </c15:dlblFTEntry>
                  </c15:dlblFieldTable>
                  <c15:showDataLabelsRange val="0"/>
                </c:ext>
              </c:extLst>
            </c:dLbl>
            <c:dLbl>
              <c:idx val="37"/>
              <c:tx>
                <c:strRef>
                  <c:f>UCAV!$AN$60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{B834C361-A09A-4A60-8796-44ACB8A86069}</c15:txfldGUID>
                      <c15:f>UCAV!$AN$60</c15:f>
                      <c15:dlblFieldTableCache>
                        <c:ptCount val="1"/>
                      </c15:dlblFieldTableCache>
                    </c15:dlblFTEntry>
                  </c15:dlblFieldTable>
                  <c15:showDataLabelsRange val="0"/>
                </c:ext>
              </c:extLst>
            </c:dLbl>
            <c:dLbl>
              <c:idx val="38"/>
              <c:tx>
                <c:strRef>
                  <c:f>UCAV!$AO$60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{D30D718D-E8A7-4076-8FBC-14FF176E00A2}</c15:txfldGUID>
                      <c15:f>UCAV!$AO$60</c15:f>
                      <c15:dlblFieldTableCache>
                        <c:ptCount val="1"/>
                      </c15:dlblFieldTableCache>
                    </c15:dlblFTEntry>
                  </c15:dlblFieldTable>
                  <c15:showDataLabelsRange val="0"/>
                </c:ext>
              </c:extLst>
            </c:dLbl>
            <c:dLbl>
              <c:idx val="39"/>
              <c:tx>
                <c:strRef>
                  <c:f>UCAV!$AP$60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{E082E794-7805-4F0D-B7A6-88AA31DE769E}</c15:txfldGUID>
                      <c15:f>UCAV!$AP$60</c15:f>
                      <c15:dlblFieldTableCache>
                        <c:ptCount val="1"/>
                      </c15:dlblFieldTableCache>
                    </c15:dlblFTEntry>
                  </c15:dlblFieldTable>
                  <c15:showDataLabelsRange val="0"/>
                </c:ext>
              </c:extLst>
            </c:dLbl>
            <c:dLbl>
              <c:idx val="40"/>
              <c:tx>
                <c:strRef>
                  <c:f>UCAV!$AQ$60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{CEC1C7FF-27EC-45D1-AC78-2FD3E80B807B}</c15:txfldGUID>
                      <c15:f>UCAV!$AQ$60</c15:f>
                      <c15:dlblFieldTableCache>
                        <c:ptCount val="1"/>
                      </c15:dlblFieldTableCache>
                    </c15:dlblFTEntry>
                  </c15:dlblFieldTable>
                  <c15:showDataLabelsRange val="0"/>
                </c:ext>
              </c:extLst>
            </c:dLbl>
            <c:dLbl>
              <c:idx val="41"/>
              <c:tx>
                <c:strRef>
                  <c:f>UCAV!$AR$60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{C6411362-373B-4E04-A097-16DC6EC8D882}</c15:txfldGUID>
                      <c15:f>UCAV!$AR$60</c15:f>
                      <c15:dlblFieldTableCache>
                        <c:ptCount val="1"/>
                      </c15:dlblFieldTableCache>
                    </c15:dlblFTEntry>
                  </c15:dlblFieldTable>
                  <c15:showDataLabelsRange val="0"/>
                </c:ext>
              </c:extLst>
            </c:dLbl>
            <c:dLbl>
              <c:idx val="42"/>
              <c:tx>
                <c:strRef>
                  <c:f>UCAV!$AS$60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{146B1E78-E551-489F-B5E5-0F7C93D5DBEF}</c15:txfldGUID>
                      <c15:f>UCAV!$AS$60</c15:f>
                      <c15:dlblFieldTableCache>
                        <c:ptCount val="1"/>
                      </c15:dlblFieldTableCache>
                    </c15:dlblFTEntry>
                  </c15:dlblFieldTable>
                  <c15:showDataLabelsRange val="0"/>
                </c:ext>
              </c:extLst>
            </c:dLbl>
            <c:dLbl>
              <c:idx val="43"/>
              <c:tx>
                <c:strRef>
                  <c:f>UCAV!$AT$60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{210FBF84-50D6-40F7-B42B-A9FBC6922F13}</c15:txfldGUID>
                      <c15:f>UCAV!$AT$60</c15:f>
                      <c15:dlblFieldTableCache>
                        <c:ptCount val="1"/>
                      </c15:dlblFieldTableCache>
                    </c15:dlblFTEntry>
                  </c15:dlblFieldTable>
                  <c15:showDataLabelsRange val="0"/>
                </c:ext>
              </c:extLst>
            </c:dLbl>
            <c:dLbl>
              <c:idx val="44"/>
              <c:tx>
                <c:strRef>
                  <c:f>UCAV!$AU$60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{F0A450D3-FBA7-4193-ACEF-1CE4983A761B}</c15:txfldGUID>
                      <c15:f>UCAV!$AU$60</c15:f>
                      <c15:dlblFieldTableCache>
                        <c:ptCount val="1"/>
                      </c15:dlblFieldTableCache>
                    </c15:dlblFTEntry>
                  </c15:dlblFieldTable>
                  <c15:showDataLabelsRange val="0"/>
                </c:ext>
              </c:extLst>
            </c:dLbl>
            <c:dLbl>
              <c:idx val="45"/>
              <c:tx>
                <c:strRef>
                  <c:f>UCAV!$AV$60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{BAA16F27-6BC6-4DD4-B0DC-813F7412F6BF}</c15:txfldGUID>
                      <c15:f>UCAV!$AV$60</c15:f>
                      <c15:dlblFieldTableCache>
                        <c:ptCount val="1"/>
                      </c15:dlblFieldTableCache>
                    </c15:dlblFTEntry>
                  </c15:dlblFieldTable>
                  <c15:showDataLabelsRange val="0"/>
                </c:ext>
              </c:extLst>
            </c:dLbl>
            <c:dLbl>
              <c:idx val="46"/>
              <c:tx>
                <c:strRef>
                  <c:f>UCAV!$AW$60</c:f>
                  <c:strCache>
                    <c:ptCount val="1"/>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{BCE90475-5061-4339-86C0-8E2B6EEFDC79}</c15:txfldGUID>
                      <c15:f>UCAV!$AW$60</c15:f>
                      <c15:dlblFieldTableCache>
                        <c:ptCount val="1"/>
                      </c15:dlblFieldTableCache>
                    </c15:dlblFTEntry>
                  </c15:dlblFieldTable>
                  <c15:showDataLabelsRange val="0"/>
                </c:ext>
              </c:extLst>
            </c:dLbl>
            <c:dLbl>
              <c:idx val="47"/>
              <c:tx>
                <c:strRef>
                  <c:f>UCAV!$AX$60</c:f>
                  <c:strCache>
                    <c:ptCount val="1"/>
                    <c:pt idx="0">
                      <c:v>Supersonic</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{9C45E87D-CFC5-4B17-8AEF-128C11CF9066}</c15:txfldGUID>
                      <c15:f>UCAV!$AX$60</c15:f>
                      <c15:dlblFieldTableCache>
                        <c:ptCount val="1"/>
                        <c:pt idx="0">
                          <c:v>Supersonic</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Aerodynamics!$C$54:$CO$54</c:f>
              <c:numCache>
                <c:formatCode>General</c:formatCode>
                <c:ptCount val="91"/>
                <c:pt idx="0">
                  <c:v>0</c:v>
                </c:pt>
                <c:pt idx="1">
                  <c:v>1E-3</c:v>
                </c:pt>
                <c:pt idx="2">
                  <c:v>2E-3</c:v>
                </c:pt>
                <c:pt idx="3">
                  <c:v>3.0000000000000001E-3</c:v>
                </c:pt>
                <c:pt idx="4">
                  <c:v>4.0000000000000001E-3</c:v>
                </c:pt>
                <c:pt idx="5">
                  <c:v>5.0000000000000001E-3</c:v>
                </c:pt>
                <c:pt idx="6">
                  <c:v>6.0000000000000001E-3</c:v>
                </c:pt>
                <c:pt idx="7">
                  <c:v>7.0000000000000001E-3</c:v>
                </c:pt>
                <c:pt idx="8">
                  <c:v>8.0000000000000002E-3</c:v>
                </c:pt>
                <c:pt idx="9">
                  <c:v>9.0000000000000011E-3</c:v>
                </c:pt>
                <c:pt idx="10">
                  <c:v>1.0000000000000002E-2</c:v>
                </c:pt>
                <c:pt idx="11">
                  <c:v>1.1000000000000003E-2</c:v>
                </c:pt>
                <c:pt idx="12">
                  <c:v>1.2000000000000004E-2</c:v>
                </c:pt>
                <c:pt idx="13">
                  <c:v>1.3000000000000005E-2</c:v>
                </c:pt>
                <c:pt idx="14">
                  <c:v>1.4000000000000005E-2</c:v>
                </c:pt>
                <c:pt idx="15">
                  <c:v>1.5000000000000006E-2</c:v>
                </c:pt>
                <c:pt idx="16">
                  <c:v>1.6000000000000007E-2</c:v>
                </c:pt>
                <c:pt idx="17">
                  <c:v>1.7000000000000008E-2</c:v>
                </c:pt>
                <c:pt idx="18">
                  <c:v>1.8000000000000009E-2</c:v>
                </c:pt>
                <c:pt idx="19">
                  <c:v>1.900000000000001E-2</c:v>
                </c:pt>
                <c:pt idx="20">
                  <c:v>2.0000000000000011E-2</c:v>
                </c:pt>
                <c:pt idx="21">
                  <c:v>2.1000000000000012E-2</c:v>
                </c:pt>
                <c:pt idx="22">
                  <c:v>2.2000000000000013E-2</c:v>
                </c:pt>
                <c:pt idx="23">
                  <c:v>2.3000000000000013E-2</c:v>
                </c:pt>
                <c:pt idx="24">
                  <c:v>2.4000000000000014E-2</c:v>
                </c:pt>
                <c:pt idx="25">
                  <c:v>2.5000000000000015E-2</c:v>
                </c:pt>
                <c:pt idx="26">
                  <c:v>2.6000000000000016E-2</c:v>
                </c:pt>
                <c:pt idx="27">
                  <c:v>2.7000000000000017E-2</c:v>
                </c:pt>
                <c:pt idx="28">
                  <c:v>2.8000000000000018E-2</c:v>
                </c:pt>
                <c:pt idx="29">
                  <c:v>2.9000000000000019E-2</c:v>
                </c:pt>
                <c:pt idx="30">
                  <c:v>3.000000000000002E-2</c:v>
                </c:pt>
                <c:pt idx="31">
                  <c:v>3.1000000000000021E-2</c:v>
                </c:pt>
                <c:pt idx="32">
                  <c:v>3.2000000000000021E-2</c:v>
                </c:pt>
                <c:pt idx="33">
                  <c:v>3.3000000000000022E-2</c:v>
                </c:pt>
                <c:pt idx="34">
                  <c:v>3.4000000000000023E-2</c:v>
                </c:pt>
                <c:pt idx="35">
                  <c:v>3.5000000000000024E-2</c:v>
                </c:pt>
                <c:pt idx="36">
                  <c:v>3.6000000000000025E-2</c:v>
                </c:pt>
                <c:pt idx="37">
                  <c:v>3.7000000000000026E-2</c:v>
                </c:pt>
                <c:pt idx="38">
                  <c:v>3.8000000000000027E-2</c:v>
                </c:pt>
                <c:pt idx="39">
                  <c:v>3.9000000000000028E-2</c:v>
                </c:pt>
                <c:pt idx="40">
                  <c:v>4.0000000000000029E-2</c:v>
                </c:pt>
                <c:pt idx="41">
                  <c:v>4.1000000000000029E-2</c:v>
                </c:pt>
                <c:pt idx="42">
                  <c:v>4.200000000000003E-2</c:v>
                </c:pt>
                <c:pt idx="43">
                  <c:v>4.3000000000000031E-2</c:v>
                </c:pt>
                <c:pt idx="44">
                  <c:v>4.4000000000000032E-2</c:v>
                </c:pt>
                <c:pt idx="45">
                  <c:v>4.5000000000000033E-2</c:v>
                </c:pt>
                <c:pt idx="46">
                  <c:v>4.6000000000000034E-2</c:v>
                </c:pt>
                <c:pt idx="47">
                  <c:v>4.7000000000000035E-2</c:v>
                </c:pt>
                <c:pt idx="48">
                  <c:v>4.8000000000000036E-2</c:v>
                </c:pt>
                <c:pt idx="49">
                  <c:v>4.9000000000000037E-2</c:v>
                </c:pt>
                <c:pt idx="50">
                  <c:v>5.0000000000000037E-2</c:v>
                </c:pt>
                <c:pt idx="51">
                  <c:v>5.1000000000000038E-2</c:v>
                </c:pt>
                <c:pt idx="52">
                  <c:v>5.2000000000000039E-2</c:v>
                </c:pt>
                <c:pt idx="53">
                  <c:v>5.300000000000004E-2</c:v>
                </c:pt>
                <c:pt idx="54">
                  <c:v>5.4000000000000041E-2</c:v>
                </c:pt>
                <c:pt idx="55">
                  <c:v>5.5000000000000042E-2</c:v>
                </c:pt>
                <c:pt idx="56">
                  <c:v>5.6000000000000043E-2</c:v>
                </c:pt>
                <c:pt idx="57">
                  <c:v>5.7000000000000044E-2</c:v>
                </c:pt>
                <c:pt idx="58">
                  <c:v>5.8000000000000045E-2</c:v>
                </c:pt>
                <c:pt idx="59">
                  <c:v>5.9000000000000045E-2</c:v>
                </c:pt>
                <c:pt idx="60">
                  <c:v>6.0000000000000046E-2</c:v>
                </c:pt>
                <c:pt idx="61">
                  <c:v>6.1000000000000047E-2</c:v>
                </c:pt>
                <c:pt idx="62">
                  <c:v>6.2000000000000048E-2</c:v>
                </c:pt>
                <c:pt idx="63">
                  <c:v>6.3000000000000042E-2</c:v>
                </c:pt>
                <c:pt idx="64">
                  <c:v>6.4000000000000043E-2</c:v>
                </c:pt>
                <c:pt idx="65">
                  <c:v>6.5000000000000044E-2</c:v>
                </c:pt>
                <c:pt idx="66">
                  <c:v>6.6000000000000045E-2</c:v>
                </c:pt>
                <c:pt idx="67">
                  <c:v>6.7000000000000046E-2</c:v>
                </c:pt>
                <c:pt idx="68">
                  <c:v>6.8000000000000047E-2</c:v>
                </c:pt>
                <c:pt idx="69">
                  <c:v>6.9000000000000047E-2</c:v>
                </c:pt>
                <c:pt idx="70">
                  <c:v>7.0000000000000048E-2</c:v>
                </c:pt>
                <c:pt idx="71">
                  <c:v>7.1000000000000049E-2</c:v>
                </c:pt>
                <c:pt idx="72">
                  <c:v>7.200000000000005E-2</c:v>
                </c:pt>
                <c:pt idx="73">
                  <c:v>7.3000000000000051E-2</c:v>
                </c:pt>
                <c:pt idx="74">
                  <c:v>7.4000000000000052E-2</c:v>
                </c:pt>
                <c:pt idx="75">
                  <c:v>7.5000000000000053E-2</c:v>
                </c:pt>
                <c:pt idx="76">
                  <c:v>7.6000000000000054E-2</c:v>
                </c:pt>
                <c:pt idx="77">
                  <c:v>7.7000000000000055E-2</c:v>
                </c:pt>
                <c:pt idx="78">
                  <c:v>7.8000000000000055E-2</c:v>
                </c:pt>
                <c:pt idx="79">
                  <c:v>7.9000000000000056E-2</c:v>
                </c:pt>
                <c:pt idx="80">
                  <c:v>8.0000000000000057E-2</c:v>
                </c:pt>
                <c:pt idx="81">
                  <c:v>8.1000000000000058E-2</c:v>
                </c:pt>
                <c:pt idx="82">
                  <c:v>8.2000000000000059E-2</c:v>
                </c:pt>
                <c:pt idx="83">
                  <c:v>8.300000000000006E-2</c:v>
                </c:pt>
                <c:pt idx="84">
                  <c:v>8.4000000000000061E-2</c:v>
                </c:pt>
                <c:pt idx="85">
                  <c:v>8.5000000000000062E-2</c:v>
                </c:pt>
                <c:pt idx="86">
                  <c:v>8.6000000000000063E-2</c:v>
                </c:pt>
                <c:pt idx="87">
                  <c:v>8.7000000000000063E-2</c:v>
                </c:pt>
                <c:pt idx="88">
                  <c:v>8.8000000000000064E-2</c:v>
                </c:pt>
                <c:pt idx="89">
                  <c:v>8.9000000000000065E-2</c:v>
                </c:pt>
                <c:pt idx="90">
                  <c:v>9.0000000000000066E-2</c:v>
                </c:pt>
              </c:numCache>
            </c:numRef>
          </c:xVal>
          <c:yVal>
            <c:numRef>
              <c:f>Aerodynamics!$C$56:$CO$56</c:f>
              <c:numCache>
                <c:formatCode>General</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4.3015947132529745E-9</c:v>
                </c:pt>
                <c:pt idx="41">
                  <c:v>2.581988897471648E-2</c:v>
                </c:pt>
                <c:pt idx="42">
                  <c:v>3.6514837167011344E-2</c:v>
                </c:pt>
                <c:pt idx="43">
                  <c:v>4.4721359549996023E-2</c:v>
                </c:pt>
                <c:pt idx="44">
                  <c:v>5.1639777949432426E-2</c:v>
                </c:pt>
                <c:pt idx="45">
                  <c:v>5.7735026918962762E-2</c:v>
                </c:pt>
                <c:pt idx="46">
                  <c:v>6.3245553203367763E-2</c:v>
                </c:pt>
                <c:pt idx="47">
                  <c:v>6.8313005106397484E-2</c:v>
                </c:pt>
                <c:pt idx="48">
                  <c:v>7.3029674334022313E-2</c:v>
                </c:pt>
                <c:pt idx="49">
                  <c:v>7.745966692414849E-2</c:v>
                </c:pt>
                <c:pt idx="50">
                  <c:v>8.1649658092772748E-2</c:v>
                </c:pt>
                <c:pt idx="51">
                  <c:v>8.5634883857767671E-2</c:v>
                </c:pt>
                <c:pt idx="52">
                  <c:v>8.9442719099991741E-2</c:v>
                </c:pt>
                <c:pt idx="53">
                  <c:v>9.3094933625126414E-2</c:v>
                </c:pt>
                <c:pt idx="54">
                  <c:v>9.6609178307929727E-2</c:v>
                </c:pt>
                <c:pt idx="55">
                  <c:v>0.10000000000000014</c:v>
                </c:pt>
                <c:pt idx="56">
                  <c:v>0.10327955589886459</c:v>
                </c:pt>
                <c:pt idx="57">
                  <c:v>0.10645812948447554</c:v>
                </c:pt>
                <c:pt idx="58">
                  <c:v>0.10954451150103336</c:v>
                </c:pt>
                <c:pt idx="59">
                  <c:v>0.11254628677422768</c:v>
                </c:pt>
                <c:pt idx="60">
                  <c:v>0.11547005383792529</c:v>
                </c:pt>
                <c:pt idx="61">
                  <c:v>0.11832159566199245</c:v>
                </c:pt>
                <c:pt idx="62">
                  <c:v>0.12110601416389979</c:v>
                </c:pt>
                <c:pt idx="63">
                  <c:v>0.12382783747337818</c:v>
                </c:pt>
                <c:pt idx="64">
                  <c:v>0.12649110640673528</c:v>
                </c:pt>
                <c:pt idx="65">
                  <c:v>0.12909944487358066</c:v>
                </c:pt>
                <c:pt idx="66">
                  <c:v>0.13165611772087676</c:v>
                </c:pt>
                <c:pt idx="67">
                  <c:v>0.1341640786499875</c:v>
                </c:pt>
                <c:pt idx="68">
                  <c:v>0.13662601021279475</c:v>
                </c:pt>
                <c:pt idx="69">
                  <c:v>0.13904435743076152</c:v>
                </c:pt>
                <c:pt idx="70">
                  <c:v>0.14142135623730961</c:v>
                </c:pt>
                <c:pt idx="71">
                  <c:v>0.14375905768565228</c:v>
                </c:pt>
                <c:pt idx="72">
                  <c:v>0.1460593486680444</c:v>
                </c:pt>
                <c:pt idx="73">
                  <c:v>0.14832396974191336</c:v>
                </c:pt>
                <c:pt idx="74">
                  <c:v>0.15055453054181631</c:v>
                </c:pt>
                <c:pt idx="75">
                  <c:v>0.15275252316519478</c:v>
                </c:pt>
                <c:pt idx="76">
                  <c:v>0.15491933384829679</c:v>
                </c:pt>
                <c:pt idx="77">
                  <c:v>0.15705625319186339</c:v>
                </c:pt>
                <c:pt idx="78">
                  <c:v>0.15916448515084441</c:v>
                </c:pt>
                <c:pt idx="79">
                  <c:v>0.16124515496597111</c:v>
                </c:pt>
                <c:pt idx="80">
                  <c:v>0.16329931618554533</c:v>
                </c:pt>
                <c:pt idx="81">
                  <c:v>0.16532795690183005</c:v>
                </c:pt>
                <c:pt idx="82">
                  <c:v>0.16733200530681522</c:v>
                </c:pt>
                <c:pt idx="83">
                  <c:v>0.16931233465600404</c:v>
                </c:pt>
                <c:pt idx="84">
                  <c:v>0.17126976771553518</c:v>
                </c:pt>
                <c:pt idx="85">
                  <c:v>0.17320508075688784</c:v>
                </c:pt>
                <c:pt idx="86">
                  <c:v>0.17511900715418274</c:v>
                </c:pt>
                <c:pt idx="87">
                  <c:v>0.17701224063135682</c:v>
                </c:pt>
                <c:pt idx="88">
                  <c:v>0.17888543819998329</c:v>
                </c:pt>
                <c:pt idx="89">
                  <c:v>0.18073922282301291</c:v>
                </c:pt>
                <c:pt idx="90">
                  <c:v>0.1825741858350555</c:v>
                </c:pt>
              </c:numCache>
            </c:numRef>
          </c:yVal>
          <c:smooth val="0"/>
        </c:ser>
        <c:dLbls>
          <c:showLegendKey val="0"/>
          <c:showVal val="0"/>
          <c:showCatName val="0"/>
          <c:showSerName val="0"/>
          <c:showPercent val="0"/>
          <c:showBubbleSize val="0"/>
        </c:dLbls>
        <c:axId val="369164144"/>
        <c:axId val="369164536"/>
      </c:scatterChart>
      <c:valAx>
        <c:axId val="369164144"/>
        <c:scaling>
          <c:orientation val="minMax"/>
        </c:scaling>
        <c:delete val="0"/>
        <c:axPos val="b"/>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DRAG COEFFICIENT</a:t>
                </a:r>
              </a:p>
            </c:rich>
          </c:tx>
          <c:layout>
            <c:manualLayout>
              <c:xMode val="edge"/>
              <c:yMode val="edge"/>
              <c:x val="0.45061043285238622"/>
              <c:y val="0.9445350734094616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9164536"/>
        <c:crosses val="autoZero"/>
        <c:crossBetween val="midCat"/>
      </c:valAx>
      <c:valAx>
        <c:axId val="369164536"/>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Arial"/>
                    <a:ea typeface="Arial"/>
                    <a:cs typeface="Arial"/>
                  </a:defRPr>
                </a:pPr>
                <a:r>
                  <a:rPr lang="en-US"/>
                  <a:t>LIFT COEFFICIENT</a:t>
                </a:r>
              </a:p>
            </c:rich>
          </c:tx>
          <c:layout>
            <c:manualLayout>
              <c:xMode val="edge"/>
              <c:yMode val="edge"/>
              <c:x val="1.2208657047724751E-2"/>
              <c:y val="0.407830342577487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9164144"/>
        <c:crosses val="autoZero"/>
        <c:crossBetween val="midCat"/>
      </c:valAx>
      <c:spPr>
        <a:solidFill>
          <a:schemeClr val="bg1"/>
        </a:solidFill>
        <a:ln w="12700">
          <a:solidFill>
            <a:srgbClr val="80808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SUBSONIC MINIMUM DRAG BUILDUP</a:t>
            </a:r>
          </a:p>
        </c:rich>
      </c:tx>
      <c:layout>
        <c:manualLayout>
          <c:xMode val="edge"/>
          <c:yMode val="edge"/>
          <c:x val="0.37069922308546072"/>
          <c:y val="1.9575856443719418E-2"/>
        </c:manualLayout>
      </c:layout>
      <c:overlay val="0"/>
      <c:spPr>
        <a:noFill/>
        <a:ln w="25400">
          <a:noFill/>
        </a:ln>
      </c:spPr>
    </c:title>
    <c:autoTitleDeleted val="0"/>
    <c:plotArea>
      <c:layout>
        <c:manualLayout>
          <c:layoutTarget val="inner"/>
          <c:xMode val="edge"/>
          <c:yMode val="edge"/>
          <c:x val="0.27192008879023316"/>
          <c:y val="0.2039151712887439"/>
          <c:w val="0.45615982241953379"/>
          <c:h val="0.67047308319738985"/>
        </c:manualLayout>
      </c:layout>
      <c:pieChart>
        <c:varyColors val="1"/>
        <c:ser>
          <c:idx val="0"/>
          <c:order val="0"/>
          <c:spPr>
            <a:solidFill>
              <a:srgbClr val="9999FF"/>
            </a:solidFill>
            <a:ln w="12700">
              <a:solidFill>
                <a:srgbClr val="000000"/>
              </a:solidFill>
              <a:prstDash val="solid"/>
            </a:ln>
          </c:spPr>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Aerodynamics!$A$21:$A$25</c:f>
              <c:strCache>
                <c:ptCount val="5"/>
                <c:pt idx="0">
                  <c:v>Wing</c:v>
                </c:pt>
                <c:pt idx="1">
                  <c:v>Horizontal Tail</c:v>
                </c:pt>
                <c:pt idx="2">
                  <c:v>Vertical Tail</c:v>
                </c:pt>
                <c:pt idx="3">
                  <c:v>Fuselage</c:v>
                </c:pt>
                <c:pt idx="4">
                  <c:v>Nacelles</c:v>
                </c:pt>
              </c:strCache>
            </c:strRef>
          </c:cat>
          <c:val>
            <c:numRef>
              <c:f>Aerodynamics!$J$21:$J$25</c:f>
              <c:numCache>
                <c:formatCode>0.0000_)</c:formatCode>
                <c:ptCount val="5"/>
                <c:pt idx="0">
                  <c:v>4.6291990199815777E-3</c:v>
                </c:pt>
                <c:pt idx="1">
                  <c:v>3.5556691939480126E-3</c:v>
                </c:pt>
                <c:pt idx="2">
                  <c:v>9.2397642238418001E-4</c:v>
                </c:pt>
                <c:pt idx="3">
                  <c:v>3.3275894451599052E-3</c:v>
                </c:pt>
                <c:pt idx="4">
                  <c:v>1.4778453967150399E-3</c:v>
                </c:pt>
              </c:numCache>
            </c:numRef>
          </c:val>
        </c:ser>
        <c:dLbls>
          <c:showLegendKey val="0"/>
          <c:showVal val="0"/>
          <c:showCatName val="0"/>
          <c:showSerName val="0"/>
          <c:showPercent val="1"/>
          <c:showBubbleSize val="0"/>
          <c:showLeaderLines val="1"/>
        </c:dLbls>
        <c:firstSliceAng val="0"/>
      </c:pieChart>
      <c:spPr>
        <a:solidFill>
          <a:srgbClr val="C0C0C0"/>
        </a:solidFill>
        <a:ln w="12700">
          <a:solidFill>
            <a:srgbClr val="808080"/>
          </a:solidFill>
          <a:prstDash val="solid"/>
        </a:ln>
      </c:spPr>
    </c:plotArea>
    <c:plotVisOnly val="0"/>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SUBSONIC MINIMUM DRAG BUILDUP</a:t>
            </a:r>
          </a:p>
        </c:rich>
      </c:tx>
      <c:layout>
        <c:manualLayout>
          <c:xMode val="edge"/>
          <c:yMode val="edge"/>
          <c:x val="0.37069922308546072"/>
          <c:y val="1.9575856443719418E-2"/>
        </c:manualLayout>
      </c:layout>
      <c:overlay val="0"/>
      <c:spPr>
        <a:noFill/>
        <a:ln w="25400">
          <a:noFill/>
        </a:ln>
      </c:spPr>
    </c:title>
    <c:autoTitleDeleted val="0"/>
    <c:plotArea>
      <c:layout>
        <c:manualLayout>
          <c:layoutTarget val="inner"/>
          <c:xMode val="edge"/>
          <c:yMode val="edge"/>
          <c:x val="9.8779134295227528E-2"/>
          <c:y val="0.11256117455138664"/>
          <c:w val="0.89012208657047742"/>
          <c:h val="0.78140293637846669"/>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Aerodynamics!$A$21:$A$25</c:f>
              <c:strCache>
                <c:ptCount val="5"/>
                <c:pt idx="0">
                  <c:v>Wing</c:v>
                </c:pt>
                <c:pt idx="1">
                  <c:v>Horizontal Tail</c:v>
                </c:pt>
                <c:pt idx="2">
                  <c:v>Vertical Tail</c:v>
                </c:pt>
                <c:pt idx="3">
                  <c:v>Fuselage</c:v>
                </c:pt>
                <c:pt idx="4">
                  <c:v>Nacelles</c:v>
                </c:pt>
              </c:strCache>
            </c:strRef>
          </c:cat>
          <c:val>
            <c:numRef>
              <c:f>Aerodynamics!$J$21:$J$25</c:f>
              <c:numCache>
                <c:formatCode>0.0000_)</c:formatCode>
                <c:ptCount val="5"/>
                <c:pt idx="0">
                  <c:v>4.6291990199815777E-3</c:v>
                </c:pt>
                <c:pt idx="1">
                  <c:v>3.5556691939480126E-3</c:v>
                </c:pt>
                <c:pt idx="2">
                  <c:v>9.2397642238418001E-4</c:v>
                </c:pt>
                <c:pt idx="3">
                  <c:v>3.3275894451599052E-3</c:v>
                </c:pt>
                <c:pt idx="4">
                  <c:v>1.4778453967150399E-3</c:v>
                </c:pt>
              </c:numCache>
            </c:numRef>
          </c:val>
        </c:ser>
        <c:dLbls>
          <c:showLegendKey val="0"/>
          <c:showVal val="0"/>
          <c:showCatName val="0"/>
          <c:showSerName val="0"/>
          <c:showPercent val="0"/>
          <c:showBubbleSize val="0"/>
        </c:dLbls>
        <c:gapWidth val="150"/>
        <c:axId val="369165712"/>
        <c:axId val="369166104"/>
      </c:barChart>
      <c:catAx>
        <c:axId val="369165712"/>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n-US"/>
                  <a:t>MAJOR COMPONENT</a:t>
                </a:r>
              </a:p>
            </c:rich>
          </c:tx>
          <c:layout>
            <c:manualLayout>
              <c:xMode val="edge"/>
              <c:yMode val="edge"/>
              <c:x val="0.4683684794672589"/>
              <c:y val="0.9445350734094616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9166104"/>
        <c:crosses val="autoZero"/>
        <c:auto val="1"/>
        <c:lblAlgn val="ctr"/>
        <c:lblOffset val="100"/>
        <c:tickLblSkip val="1"/>
        <c:tickMarkSkip val="1"/>
        <c:noMultiLvlLbl val="0"/>
      </c:catAx>
      <c:valAx>
        <c:axId val="369166104"/>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n-US"/>
                  <a:t>DRAG COEFF. BASED ON REF. WING AREA</a:t>
                </a:r>
              </a:p>
            </c:rich>
          </c:tx>
          <c:layout>
            <c:manualLayout>
              <c:xMode val="edge"/>
              <c:yMode val="edge"/>
              <c:x val="1.2208657047724751E-2"/>
              <c:y val="0.27569331158238175"/>
            </c:manualLayout>
          </c:layout>
          <c:overlay val="0"/>
          <c:spPr>
            <a:noFill/>
            <a:ln w="25400">
              <a:noFill/>
            </a:ln>
          </c:spPr>
        </c:title>
        <c:numFmt formatCode="0.0000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9165712"/>
        <c:crosses val="autoZero"/>
        <c:crossBetween val="between"/>
      </c:valAx>
      <c:spPr>
        <a:solidFill>
          <a:srgbClr val="C0C0C0"/>
        </a:solid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a:t>AIRCRAFT C.G. LOCATION</a:t>
            </a:r>
          </a:p>
        </c:rich>
      </c:tx>
      <c:layout>
        <c:manualLayout>
          <c:xMode val="edge"/>
          <c:yMode val="edge"/>
          <c:x val="0.40732519422863495"/>
          <c:y val="1.9575856443719418E-2"/>
        </c:manualLayout>
      </c:layout>
      <c:overlay val="0"/>
      <c:spPr>
        <a:noFill/>
        <a:ln w="25400">
          <a:noFill/>
        </a:ln>
      </c:spPr>
    </c:title>
    <c:autoTitleDeleted val="0"/>
    <c:plotArea>
      <c:layout>
        <c:manualLayout>
          <c:layoutTarget val="inner"/>
          <c:xMode val="edge"/>
          <c:yMode val="edge"/>
          <c:x val="9.7275446073827945E-2"/>
          <c:y val="0.11256110673732188"/>
          <c:w val="0.87680355160932322"/>
          <c:h val="0.78140293637846669"/>
        </c:manualLayout>
      </c:layout>
      <c:scatterChart>
        <c:scatterStyle val="lineMarker"/>
        <c:varyColors val="0"/>
        <c:ser>
          <c:idx val="0"/>
          <c:order val="0"/>
          <c:spPr>
            <a:ln w="12700">
              <a:solidFill>
                <a:srgbClr val="0000FF"/>
              </a:solidFill>
              <a:prstDash val="solid"/>
            </a:ln>
          </c:spPr>
          <c:marker>
            <c:symbol val="square"/>
            <c:size val="5"/>
            <c:spPr>
              <a:noFill/>
              <a:ln>
                <a:solidFill>
                  <a:srgbClr val="0000FF"/>
                </a:solidFill>
                <a:prstDash val="solid"/>
              </a:ln>
            </c:spPr>
          </c:marker>
          <c:dLbls>
            <c:dLbl>
              <c:idx val="0"/>
              <c:tx>
                <c:strRef>
                  <c:f>'Wt &amp; Balance'!$A$160</c:f>
                  <c:strCache>
                    <c:ptCount val="1"/>
                    <c:pt idx="0">
                      <c:v>Weight Empty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{21BB7B92-C9DD-4517-AEA7-30C25EADE3EF}</c15:txfldGUID>
                      <c15:f>'Wt &amp; Balance'!$A$160</c15:f>
                      <c15:dlblFieldTableCache>
                        <c:ptCount val="1"/>
                        <c:pt idx="0">
                          <c:v>Weight Empty</c:v>
                        </c:pt>
                      </c15:dlblFieldTableCache>
                    </c15:dlblFTEntry>
                  </c15:dlblFieldTable>
                  <c15:showDataLabelsRange val="0"/>
                </c:ext>
              </c:extLst>
            </c:dLbl>
            <c:dLbl>
              <c:idx val="1"/>
              <c:tx>
                <c:strRef>
                  <c:f>'Wt &amp; Balance'!$A$161</c:f>
                  <c:strCache>
                    <c:ptCount val="1"/>
                    <c:pt idx="0">
                      <c:v>Operating Weight Empty</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{5FB61AA7-A029-479A-AD35-A73233158291}</c15:txfldGUID>
                      <c15:f>'Wt &amp; Balance'!$A$161</c15:f>
                      <c15:dlblFieldTableCache>
                        <c:ptCount val="1"/>
                        <c:pt idx="0">
                          <c:v>Operating Weight Empty</c:v>
                        </c:pt>
                      </c15:dlblFieldTableCache>
                    </c15:dlblFTEntry>
                  </c15:dlblFieldTable>
                  <c15:showDataLabelsRange val="0"/>
                </c:ext>
              </c:extLst>
            </c:dLbl>
            <c:dLbl>
              <c:idx val="2"/>
              <c:tx>
                <c:strRef>
                  <c:f>'Wt &amp; Balance'!$A$162</c:f>
                  <c:strCache>
                    <c:ptCount val="1"/>
                    <c:pt idx="0">
                      <c:v>Zero Fuel Weight</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{BE086EB6-BD55-4EB0-A334-17F449DC78F8}</c15:txfldGUID>
                      <c15:f>'Wt &amp; Balance'!$A$162</c15:f>
                      <c15:dlblFieldTableCache>
                        <c:ptCount val="1"/>
                        <c:pt idx="0">
                          <c:v>Zero Fuel Weight</c:v>
                        </c:pt>
                      </c15:dlblFieldTableCache>
                    </c15:dlblFTEntry>
                  </c15:dlblFieldTable>
                  <c15:showDataLabelsRange val="0"/>
                </c:ext>
              </c:extLst>
            </c:dLbl>
            <c:dLbl>
              <c:idx val="3"/>
              <c:tx>
                <c:strRef>
                  <c:f>'Wt &amp; Balance'!$A$163</c:f>
                  <c:strCache>
                    <c:ptCount val="1"/>
                    <c:pt idx="0">
                      <c:v>Takeoff Gross Weight</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{19D5BE4D-71E3-4CBD-886D-6FBE8E5AB9C1}</c15:txfldGUID>
                      <c15:f>'Wt &amp; Balance'!$A$163</c15:f>
                      <c15:dlblFieldTableCache>
                        <c:ptCount val="1"/>
                        <c:pt idx="0">
                          <c:v>Takeoff Gross Weight</c:v>
                        </c:pt>
                      </c15:dlblFieldTableCache>
                    </c15:dlblFTEntry>
                  </c15:dlblFieldTable>
                  <c15:showDataLabelsRange val="0"/>
                </c:ext>
              </c:extLst>
            </c:dLbl>
            <c:dLbl>
              <c:idx val="4"/>
              <c:tx>
                <c:strRef>
                  <c:f>'Wt &amp; Balance'!$A$164</c:f>
                  <c:strCache>
                    <c:ptCount val="1"/>
                    <c:pt idx="0">
                      <c:v>Zero Payload Weight</c:v>
                    </c:pt>
                  </c:strCache>
                </c:strRef>
              </c:tx>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dlblFieldTable>
                    <c15:dlblFTEntry>
                      <c15:txfldGUID>{F058468D-8640-4E7E-9B0D-8DF321C4610F}</c15:txfldGUID>
                      <c15:f>'Wt &amp; Balance'!$A$164</c15:f>
                      <c15:dlblFieldTableCache>
                        <c:ptCount val="1"/>
                        <c:pt idx="0">
                          <c:v>Zero Payload Weight</c:v>
                        </c:pt>
                      </c15:dlblFieldTableCache>
                    </c15:dlblFTEntry>
                  </c15:dlblFieldTable>
                  <c15:showDataLabelsRange val="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'Wt &amp; Balance'!$I$160:$I$165</c:f>
              <c:numCache>
                <c:formatCode>0.00_)</c:formatCode>
                <c:ptCount val="6"/>
                <c:pt idx="0">
                  <c:v>0.25551264057858353</c:v>
                </c:pt>
                <c:pt idx="1">
                  <c:v>0.24163416164824814</c:v>
                </c:pt>
                <c:pt idx="2">
                  <c:v>0.20922889258233635</c:v>
                </c:pt>
                <c:pt idx="3">
                  <c:v>0.13266562187621436</c:v>
                </c:pt>
                <c:pt idx="4">
                  <c:v>0.14858010849321265</c:v>
                </c:pt>
                <c:pt idx="5">
                  <c:v>0.24163416164824814</c:v>
                </c:pt>
              </c:numCache>
            </c:numRef>
          </c:xVal>
          <c:yVal>
            <c:numRef>
              <c:f>'Wt &amp; Balance'!$B$160:$B$165</c:f>
              <c:numCache>
                <c:formatCode>0_)</c:formatCode>
                <c:ptCount val="6"/>
                <c:pt idx="0">
                  <c:v>33727.094026971929</c:v>
                </c:pt>
                <c:pt idx="1">
                  <c:v>34240.490691078747</c:v>
                </c:pt>
                <c:pt idx="2">
                  <c:v>36140.490691078747</c:v>
                </c:pt>
                <c:pt idx="3">
                  <c:v>62480.157101760524</c:v>
                </c:pt>
                <c:pt idx="4">
                  <c:v>60580.157101760524</c:v>
                </c:pt>
                <c:pt idx="5">
                  <c:v>34240.490691078747</c:v>
                </c:pt>
              </c:numCache>
            </c:numRef>
          </c:yVal>
          <c:smooth val="0"/>
        </c:ser>
        <c:dLbls>
          <c:showLegendKey val="0"/>
          <c:showVal val="0"/>
          <c:showCatName val="0"/>
          <c:showSerName val="0"/>
          <c:showPercent val="0"/>
          <c:showBubbleSize val="0"/>
        </c:dLbls>
        <c:axId val="369166888"/>
        <c:axId val="369167280"/>
      </c:scatterChart>
      <c:valAx>
        <c:axId val="369166888"/>
        <c:scaling>
          <c:orientation val="minMax"/>
          <c:max val="0.4"/>
          <c:min val="0.1"/>
        </c:scaling>
        <c:delete val="0"/>
        <c:axPos val="b"/>
        <c:title>
          <c:tx>
            <c:rich>
              <a:bodyPr/>
              <a:lstStyle/>
              <a:p>
                <a:pPr>
                  <a:defRPr sz="1000" b="0" i="0" u="none" strike="noStrike" baseline="0">
                    <a:solidFill>
                      <a:srgbClr val="000000"/>
                    </a:solidFill>
                    <a:latin typeface="Arial"/>
                    <a:ea typeface="Arial"/>
                    <a:cs typeface="Arial"/>
                  </a:defRPr>
                </a:pPr>
                <a:r>
                  <a:rPr lang="en-US"/>
                  <a:t>MAC</a:t>
                </a:r>
              </a:p>
            </c:rich>
          </c:tx>
          <c:layout>
            <c:manualLayout>
              <c:xMode val="edge"/>
              <c:yMode val="edge"/>
              <c:x val="0.51498335183129829"/>
              <c:y val="0.94453507340946163"/>
            </c:manualLayout>
          </c:layout>
          <c:overlay val="0"/>
          <c:spPr>
            <a:noFill/>
            <a:ln w="25400">
              <a:noFill/>
            </a:ln>
          </c:spPr>
        </c:title>
        <c:numFmt formatCode="0.00_)" sourceLinked="1"/>
        <c:majorTickMark val="in"/>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9167280"/>
        <c:crosses val="autoZero"/>
        <c:crossBetween val="midCat"/>
      </c:valAx>
      <c:valAx>
        <c:axId val="369167280"/>
        <c:scaling>
          <c:orientation val="minMax"/>
          <c:min val="25000"/>
        </c:scaling>
        <c:delete val="0"/>
        <c:axPos val="l"/>
        <c:title>
          <c:tx>
            <c:rich>
              <a:bodyPr/>
              <a:lstStyle/>
              <a:p>
                <a:pPr>
                  <a:defRPr sz="1000" b="0" i="0" u="none" strike="noStrike" baseline="0">
                    <a:solidFill>
                      <a:srgbClr val="000000"/>
                    </a:solidFill>
                    <a:latin typeface="Arial"/>
                    <a:ea typeface="Arial"/>
                    <a:cs typeface="Arial"/>
                  </a:defRPr>
                </a:pPr>
                <a:r>
                  <a:rPr lang="en-US"/>
                  <a:t>WEIGHT [LB]</a:t>
                </a:r>
              </a:p>
            </c:rich>
          </c:tx>
          <c:layout>
            <c:manualLayout>
              <c:xMode val="edge"/>
              <c:yMode val="edge"/>
              <c:x val="1.2208657047724751E-2"/>
              <c:y val="0.4355628058727572"/>
            </c:manualLayout>
          </c:layout>
          <c:overlay val="0"/>
          <c:spPr>
            <a:noFill/>
            <a:ln w="25400">
              <a:noFill/>
            </a:ln>
          </c:spPr>
        </c:title>
        <c:numFmt formatCode="0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9166888"/>
        <c:crosses val="autoZero"/>
        <c:crossBetween val="midCat"/>
      </c:valAx>
      <c:spPr>
        <a:solidFill>
          <a:schemeClr val="bg1"/>
        </a:solidFill>
        <a:ln w="25400">
          <a:noFill/>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chartsheets/sheet1.xml><?xml version="1.0" encoding="utf-8"?>
<chartsheet xmlns="http://schemas.openxmlformats.org/spreadsheetml/2006/main" xmlns:r="http://schemas.openxmlformats.org/officeDocument/2006/relationships">
  <sheetPr/>
  <sheetViews>
    <sheetView zoomScale="135" workbookViewId="0" zoomToFit="1"/>
  </sheetViews>
  <pageMargins left="0.75" right="0.75" top="1" bottom="1" header="0.5" footer="0.5"/>
  <pageSetup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135" workbookViewId="0" zoomToFit="1"/>
  </sheetViews>
  <pageMargins left="0.75" right="0.75" top="1" bottom="1" header="0.5" footer="0.5"/>
  <pageSetup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125" workbookViewId="0" zoomToFit="1"/>
  </sheetViews>
  <pageMargins left="0.75" right="0.75" top="1" bottom="1" header="0.5" footer="0.5"/>
  <headerFooter alignWithMargins="0"/>
  <drawing r:id="rId1"/>
</chartsheet>
</file>

<file path=xl/chartsheets/sheet4.xml><?xml version="1.0" encoding="utf-8"?>
<chartsheet xmlns="http://schemas.openxmlformats.org/spreadsheetml/2006/main" xmlns:r="http://schemas.openxmlformats.org/officeDocument/2006/relationships">
  <sheetPr/>
  <sheetViews>
    <sheetView zoomScale="96" workbookViewId="0" zoomToFit="1"/>
  </sheetViews>
  <pageMargins left="0.75" right="0.75" top="1" bottom="1" header="0.5" footer="0.5"/>
  <headerFooter alignWithMargins="0"/>
  <drawing r:id="rId1"/>
</chartsheet>
</file>

<file path=xl/chartsheets/sheet5.xml><?xml version="1.0" encoding="utf-8"?>
<chartsheet xmlns="http://schemas.openxmlformats.org/spreadsheetml/2006/main" xmlns:r="http://schemas.openxmlformats.org/officeDocument/2006/relationships">
  <sheetPr/>
  <sheetViews>
    <sheetView zoomScale="96" workbookViewId="0" zoomToFit="1"/>
  </sheetViews>
  <pageMargins left="0.75" right="0.75" top="1" bottom="1" header="0.5" footer="0.5"/>
  <headerFooter alignWithMargins="0"/>
  <drawing r:id="rId1"/>
</chartsheet>
</file>

<file path=xl/chartsheets/sheet6.xml><?xml version="1.0" encoding="utf-8"?>
<chartsheet xmlns="http://schemas.openxmlformats.org/spreadsheetml/2006/main" xmlns:r="http://schemas.openxmlformats.org/officeDocument/2006/relationships">
  <sheetPr/>
  <sheetViews>
    <sheetView zoomScale="96" workbookViewId="0" zoomToFit="1"/>
  </sheetViews>
  <pageMargins left="0.75" right="0.75" top="1" bottom="1" header="0.5" footer="0.5"/>
  <headerFooter alignWithMargins="0"/>
  <drawing r:id="rId1"/>
</chartsheet>
</file>

<file path=xl/chartsheets/sheet7.xml><?xml version="1.0" encoding="utf-8"?>
<chartsheet xmlns="http://schemas.openxmlformats.org/spreadsheetml/2006/main" xmlns:r="http://schemas.openxmlformats.org/officeDocument/2006/relationships">
  <sheetPr/>
  <sheetViews>
    <sheetView zoomScale="125" workbookViewId="0" zoomToFit="1"/>
  </sheetViews>
  <pageMargins left="0.75" right="0.75" top="1" bottom="1" header="0.5" footer="0.5"/>
  <headerFooter alignWithMargins="0"/>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4</xdr:col>
      <xdr:colOff>207644</xdr:colOff>
      <xdr:row>3</xdr:row>
      <xdr:rowOff>142876</xdr:rowOff>
    </xdr:from>
    <xdr:to>
      <xdr:col>12</xdr:col>
      <xdr:colOff>38099</xdr:colOff>
      <xdr:row>11</xdr:row>
      <xdr:rowOff>123825</xdr:rowOff>
    </xdr:to>
    <xdr:sp macro="" textlink="">
      <xdr:nvSpPr>
        <xdr:cNvPr id="1026" name="Text Box 2"/>
        <xdr:cNvSpPr txBox="1">
          <a:spLocks noChangeArrowheads="1"/>
        </xdr:cNvSpPr>
      </xdr:nvSpPr>
      <xdr:spPr bwMode="auto">
        <a:xfrm>
          <a:off x="4512944" y="628651"/>
          <a:ext cx="5697855" cy="1276349"/>
        </a:xfrm>
        <a:prstGeom prst="rect">
          <a:avLst/>
        </a:prstGeom>
        <a:solidFill>
          <a:schemeClr val="bg1"/>
        </a:solidFill>
        <a:ln w="19050">
          <a:solidFill>
            <a:srgbClr val="000000"/>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mn-lt"/>
            </a:rPr>
            <a:t>Chalengr Rev 2 corrects the pressure calculation for non-standard days in the atmosphere routine. It now matches the routine at</a:t>
          </a:r>
        </a:p>
        <a:p>
          <a:pPr algn="l" rtl="0">
            <a:defRPr sz="1000"/>
          </a:pPr>
          <a:r>
            <a:rPr lang="en-US" sz="1000" b="0" i="0" u="none" strike="noStrike" baseline="0">
              <a:solidFill>
                <a:srgbClr val="000000"/>
              </a:solidFill>
              <a:latin typeface="+mn-lt"/>
            </a:rPr>
            <a:t>http://www.digitaldutch.com/atmoscalc/</a:t>
          </a:r>
        </a:p>
        <a:p>
          <a:pPr algn="l" rtl="0">
            <a:defRPr sz="1000"/>
          </a:pPr>
          <a:r>
            <a:rPr lang="en-US" sz="1000" b="0" i="0" u="none" strike="noStrike" baseline="0">
              <a:solidFill>
                <a:srgbClr val="000000"/>
              </a:solidFill>
              <a:latin typeface="+mn-lt"/>
            </a:rPr>
            <a:t>Chalengr Rev 3 updates fonts and improves readability</a:t>
          </a:r>
        </a:p>
        <a:p>
          <a:pPr algn="l" rtl="0">
            <a:defRPr sz="1000"/>
          </a:pPr>
          <a:r>
            <a:rPr lang="en-US" sz="1000" b="0" i="0" u="none" strike="noStrike" baseline="0">
              <a:solidFill>
                <a:srgbClr val="000000"/>
              </a:solidFill>
              <a:latin typeface="+mn-lt"/>
            </a:rPr>
            <a:t>Chalengr Rev 4 uses Solver (see below) to find TOGW value</a:t>
          </a:r>
        </a:p>
        <a:p>
          <a:pPr algn="l" rtl="0">
            <a:defRPr sz="1000"/>
          </a:pPr>
          <a:r>
            <a:rPr lang="en-US" sz="1000" b="0" i="0" u="none" strike="noStrike" baseline="0">
              <a:solidFill>
                <a:srgbClr val="000000"/>
              </a:solidFill>
              <a:latin typeface="+mn-lt"/>
            </a:rPr>
            <a:t>Chalengr Rev 5 moves modules on to separate sheets</a:t>
          </a:r>
        </a:p>
        <a:p>
          <a:pPr algn="l" rtl="0">
            <a:defRPr sz="1000"/>
          </a:pPr>
          <a:r>
            <a:rPr lang="en-US" sz="1000" b="0" i="0" u="none" strike="noStrike" baseline="0">
              <a:solidFill>
                <a:srgbClr val="000000"/>
              </a:solidFill>
              <a:latin typeface="+mn-lt"/>
            </a:rPr>
            <a:t>UCAV 2040 Rev 0 adds a linear acceleration sheet.  Other data </a:t>
          </a:r>
          <a:r>
            <a:rPr lang="en-US" sz="1000" b="0" i="0" u="sng" strike="noStrike" baseline="0">
              <a:solidFill>
                <a:srgbClr val="000000"/>
              </a:solidFill>
              <a:latin typeface="+mn-lt"/>
            </a:rPr>
            <a:t>may not </a:t>
          </a:r>
          <a:r>
            <a:rPr lang="en-US" sz="1000" b="0" i="0" u="none" strike="noStrike" baseline="0">
              <a:solidFill>
                <a:srgbClr val="000000"/>
              </a:solidFill>
              <a:latin typeface="+mn-lt"/>
            </a:rPr>
            <a:t>be updated. </a:t>
          </a:r>
        </a:p>
        <a:p>
          <a:pPr algn="l" rtl="0">
            <a:defRPr sz="1000"/>
          </a:pPr>
          <a:r>
            <a:rPr lang="en-US" sz="1000" b="0" i="0" u="none" strike="noStrike" baseline="0">
              <a:solidFill>
                <a:srgbClr val="000000"/>
              </a:solidFill>
              <a:latin typeface="+mn-lt"/>
            </a:rPr>
            <a:t>UCAV 2040 Rev 1 adds comment boxes.</a:t>
          </a:r>
        </a:p>
      </xdr:txBody>
    </xdr:sp>
    <xdr:clientData/>
  </xdr:twoCellAnchor>
  <xdr:twoCellAnchor>
    <xdr:from>
      <xdr:col>4</xdr:col>
      <xdr:colOff>217170</xdr:colOff>
      <xdr:row>13</xdr:row>
      <xdr:rowOff>158115</xdr:rowOff>
    </xdr:from>
    <xdr:to>
      <xdr:col>12</xdr:col>
      <xdr:colOff>19050</xdr:colOff>
      <xdr:row>20</xdr:row>
      <xdr:rowOff>114031</xdr:rowOff>
    </xdr:to>
    <xdr:sp macro="" textlink="">
      <xdr:nvSpPr>
        <xdr:cNvPr id="2" name="TextBox 1"/>
        <xdr:cNvSpPr txBox="1"/>
      </xdr:nvSpPr>
      <xdr:spPr>
        <a:xfrm>
          <a:off x="4516835" y="2250932"/>
          <a:ext cx="5651035" cy="10761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If Solver</a:t>
          </a:r>
          <a:r>
            <a:rPr lang="en-US" sz="1100" baseline="0">
              <a:solidFill>
                <a:schemeClr val="dk1"/>
              </a:solidFill>
              <a:effectLst/>
              <a:latin typeface="+mn-lt"/>
              <a:ea typeface="+mn-ea"/>
              <a:cs typeface="+mn-cs"/>
            </a:rPr>
            <a:t> doesn't appear on the taskbar when the Data tab is selected:</a:t>
          </a:r>
          <a:endParaRPr lang="en-US">
            <a:effectLst/>
          </a:endParaRPr>
        </a:p>
        <a:p>
          <a:r>
            <a:rPr lang="en-US" sz="1100">
              <a:solidFill>
                <a:schemeClr val="dk1"/>
              </a:solidFill>
              <a:effectLst/>
              <a:latin typeface="+mn-lt"/>
              <a:ea typeface="+mn-ea"/>
              <a:cs typeface="+mn-cs"/>
            </a:rPr>
            <a:t>Make sure that</a:t>
          </a:r>
          <a:r>
            <a:rPr lang="en-US" sz="1100" baseline="0">
              <a:solidFill>
                <a:schemeClr val="dk1"/>
              </a:solidFill>
              <a:effectLst/>
              <a:latin typeface="+mn-lt"/>
              <a:ea typeface="+mn-ea"/>
              <a:cs typeface="+mn-cs"/>
            </a:rPr>
            <a:t> Solver is active on </a:t>
          </a:r>
          <a:r>
            <a:rPr lang="en-US" sz="1100" u="sng" baseline="0">
              <a:solidFill>
                <a:schemeClr val="dk1"/>
              </a:solidFill>
              <a:effectLst/>
              <a:latin typeface="+mn-lt"/>
              <a:ea typeface="+mn-ea"/>
              <a:cs typeface="+mn-cs"/>
            </a:rPr>
            <a:t>this</a:t>
          </a:r>
          <a:r>
            <a:rPr lang="en-US" sz="1100" baseline="0">
              <a:solidFill>
                <a:schemeClr val="dk1"/>
              </a:solidFill>
              <a:effectLst/>
              <a:latin typeface="+mn-lt"/>
              <a:ea typeface="+mn-ea"/>
              <a:cs typeface="+mn-cs"/>
            </a:rPr>
            <a:t> spreadsheet:  File -&gt; Excel  options -&gt; Add-ins -&gt; Manage [Disabled Items]</a:t>
          </a:r>
        </a:p>
        <a:p>
          <a:endParaRPr lang="en-US">
            <a:effectLst/>
          </a:endParaRPr>
        </a:p>
        <a:p>
          <a:r>
            <a:rPr lang="en-US" sz="1100" b="0">
              <a:solidFill>
                <a:schemeClr val="dk1"/>
              </a:solidFill>
              <a:effectLst/>
              <a:latin typeface="+mn-lt"/>
              <a:ea typeface="+mn-ea"/>
              <a:cs typeface="+mn-cs"/>
            </a:rPr>
            <a:t>Run</a:t>
          </a:r>
          <a:r>
            <a:rPr lang="en-US" sz="1100" b="0" baseline="0">
              <a:solidFill>
                <a:schemeClr val="dk1"/>
              </a:solidFill>
              <a:effectLst/>
              <a:latin typeface="+mn-lt"/>
              <a:ea typeface="+mn-ea"/>
              <a:cs typeface="+mn-cs"/>
            </a:rPr>
            <a:t> Solver from the Baseline sheet</a:t>
          </a:r>
          <a:endParaRPr lang="en-US" b="1">
            <a:effectLst/>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8651875" cy="62785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1875" cy="62785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4</xdr:col>
      <xdr:colOff>38100</xdr:colOff>
      <xdr:row>46</xdr:row>
      <xdr:rowOff>19050</xdr:rowOff>
    </xdr:from>
    <xdr:to>
      <xdr:col>8</xdr:col>
      <xdr:colOff>647700</xdr:colOff>
      <xdr:row>51</xdr:row>
      <xdr:rowOff>9525</xdr:rowOff>
    </xdr:to>
    <xdr:sp macro="" textlink="">
      <xdr:nvSpPr>
        <xdr:cNvPr id="2" name="TextBox 1"/>
        <xdr:cNvSpPr txBox="1"/>
      </xdr:nvSpPr>
      <xdr:spPr>
        <a:xfrm>
          <a:off x="4248150" y="7467600"/>
          <a:ext cx="3448050" cy="800100"/>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is intended to be a generic mission, but does not contain appropriate phases for FAR or NBAA reserves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253365</xdr:colOff>
      <xdr:row>1</xdr:row>
      <xdr:rowOff>78105</xdr:rowOff>
    </xdr:from>
    <xdr:to>
      <xdr:col>16</xdr:col>
      <xdr:colOff>72390</xdr:colOff>
      <xdr:row>5</xdr:row>
      <xdr:rowOff>70485</xdr:rowOff>
    </xdr:to>
    <xdr:sp macro="" textlink="">
      <xdr:nvSpPr>
        <xdr:cNvPr id="2" name="TextBox 1"/>
        <xdr:cNvSpPr txBox="1"/>
      </xdr:nvSpPr>
      <xdr:spPr>
        <a:xfrm>
          <a:off x="7530465" y="240030"/>
          <a:ext cx="3686175" cy="640080"/>
        </a:xfrm>
        <a:prstGeom prst="rect">
          <a:avLst/>
        </a:prstGeom>
        <a:solidFill>
          <a:schemeClr val="lt1"/>
        </a:solidFill>
        <a:ln w="254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Solver</a:t>
          </a:r>
        </a:p>
        <a:p>
          <a:r>
            <a:rPr lang="en-US" sz="1100"/>
            <a:t>Set objective: WIETDIFF2 to value of 0</a:t>
          </a:r>
        </a:p>
        <a:p>
          <a:r>
            <a:rPr lang="en-US" sz="1100"/>
            <a:t>By Changing</a:t>
          </a:r>
          <a:r>
            <a:rPr lang="en-US" sz="1100" baseline="0"/>
            <a:t> Variable Cells: TOGW</a:t>
          </a:r>
          <a:endParaRPr lang="en-US" sz="1100"/>
        </a:p>
      </xdr:txBody>
    </xdr:sp>
    <xdr:clientData/>
  </xdr:twoCellAnchor>
  <xdr:twoCellAnchor>
    <xdr:from>
      <xdr:col>10</xdr:col>
      <xdr:colOff>19050</xdr:colOff>
      <xdr:row>6</xdr:row>
      <xdr:rowOff>133350</xdr:rowOff>
    </xdr:from>
    <xdr:to>
      <xdr:col>19</xdr:col>
      <xdr:colOff>428625</xdr:colOff>
      <xdr:row>14</xdr:row>
      <xdr:rowOff>57150</xdr:rowOff>
    </xdr:to>
    <xdr:sp macro="" textlink="">
      <xdr:nvSpPr>
        <xdr:cNvPr id="3" name="TextBox 2"/>
        <xdr:cNvSpPr txBox="1"/>
      </xdr:nvSpPr>
      <xdr:spPr>
        <a:xfrm>
          <a:off x="7553325" y="1104900"/>
          <a:ext cx="6076950" cy="1238250"/>
        </a:xfrm>
        <a:prstGeom prst="rect">
          <a:avLst/>
        </a:prstGeom>
        <a:solidFill>
          <a:schemeClr val="lt1"/>
        </a:solidFill>
        <a:ln w="254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a:t>
          </a:r>
          <a:r>
            <a:rPr lang="en-US" sz="1100" baseline="0"/>
            <a:t> much geometry as possible is input in non-dimensional form, and then converted to dimensional values which are a function of T/W, W/S and TOGW.  This permits appropriate scaling of the geometry.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485775</xdr:colOff>
      <xdr:row>30</xdr:row>
      <xdr:rowOff>76200</xdr:rowOff>
    </xdr:from>
    <xdr:to>
      <xdr:col>20</xdr:col>
      <xdr:colOff>76200</xdr:colOff>
      <xdr:row>41</xdr:row>
      <xdr:rowOff>133350</xdr:rowOff>
    </xdr:to>
    <xdr:sp macro="" textlink="">
      <xdr:nvSpPr>
        <xdr:cNvPr id="2" name="TextBox 1"/>
        <xdr:cNvSpPr txBox="1"/>
      </xdr:nvSpPr>
      <xdr:spPr>
        <a:xfrm>
          <a:off x="10344150" y="5048250"/>
          <a:ext cx="4391025" cy="187642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range of values of W/S for the table below is centered upon the value of W/S entered on the Baseline sheet.  Intervals between</a:t>
          </a:r>
          <a:r>
            <a:rPr lang="en-US" sz="1100" baseline="0"/>
            <a:t> values are set by WOSDIFF.</a:t>
          </a:r>
          <a:endParaRPr lang="en-US" sz="1100"/>
        </a:p>
      </xdr:txBody>
    </xdr:sp>
    <xdr:clientData/>
  </xdr:twoCellAnchor>
  <xdr:twoCellAnchor>
    <xdr:from>
      <xdr:col>4</xdr:col>
      <xdr:colOff>171450</xdr:colOff>
      <xdr:row>69</xdr:row>
      <xdr:rowOff>9525</xdr:rowOff>
    </xdr:from>
    <xdr:to>
      <xdr:col>13</xdr:col>
      <xdr:colOff>238125</xdr:colOff>
      <xdr:row>72</xdr:row>
      <xdr:rowOff>123825</xdr:rowOff>
    </xdr:to>
    <xdr:sp macro="" textlink="">
      <xdr:nvSpPr>
        <xdr:cNvPr id="3" name="TextBox 2"/>
        <xdr:cNvSpPr txBox="1"/>
      </xdr:nvSpPr>
      <xdr:spPr>
        <a:xfrm>
          <a:off x="3857625" y="11334750"/>
          <a:ext cx="6238875" cy="600075"/>
        </a:xfrm>
        <a:prstGeom prst="rect">
          <a:avLst/>
        </a:prstGeom>
        <a:solidFill>
          <a:schemeClr val="lt1"/>
        </a:solidFill>
        <a:ln w="1905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two sets</a:t>
          </a:r>
          <a:r>
            <a:rPr lang="en-US" sz="1100" baseline="0"/>
            <a:t> of data are a rather crude way of finding a constrained minimum TOGW (to the nearest interval of W/S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42</xdr:row>
      <xdr:rowOff>1</xdr:rowOff>
    </xdr:from>
    <xdr:to>
      <xdr:col>5</xdr:col>
      <xdr:colOff>142875</xdr:colOff>
      <xdr:row>56</xdr:row>
      <xdr:rowOff>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42</xdr:row>
      <xdr:rowOff>1</xdr:rowOff>
    </xdr:from>
    <xdr:to>
      <xdr:col>11</xdr:col>
      <xdr:colOff>180975</xdr:colOff>
      <xdr:row>55</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628650</xdr:colOff>
      <xdr:row>3</xdr:row>
      <xdr:rowOff>66675</xdr:rowOff>
    </xdr:from>
    <xdr:to>
      <xdr:col>23</xdr:col>
      <xdr:colOff>409575</xdr:colOff>
      <xdr:row>12</xdr:row>
      <xdr:rowOff>95250</xdr:rowOff>
    </xdr:to>
    <xdr:sp macro="" textlink="">
      <xdr:nvSpPr>
        <xdr:cNvPr id="3" name="TextBox 2"/>
        <xdr:cNvSpPr txBox="1"/>
      </xdr:nvSpPr>
      <xdr:spPr>
        <a:xfrm>
          <a:off x="7829550" y="523875"/>
          <a:ext cx="8239125" cy="1495425"/>
        </a:xfrm>
        <a:prstGeom prst="rect">
          <a:avLst/>
        </a:prstGeom>
        <a:solidFill>
          <a:schemeClr val="lt1"/>
        </a:solidFill>
        <a:ln w="25400" cmpd="sng">
          <a:solidFill>
            <a:schemeClr val="tx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a:t>
          </a:r>
          <a:r>
            <a:rPr lang="en-US" sz="1100" baseline="-25000"/>
            <a:t>D0</a:t>
          </a:r>
          <a:r>
            <a:rPr lang="en-US" sz="1100"/>
            <a:t> (incomp)</a:t>
          </a:r>
          <a:r>
            <a:rPr lang="en-US" sz="1100" baseline="0"/>
            <a:t> </a:t>
          </a:r>
          <a:r>
            <a:rPr lang="en-US" sz="1100"/>
            <a:t>is a function</a:t>
          </a:r>
          <a:r>
            <a:rPr lang="en-US" sz="1100" baseline="0"/>
            <a:t> of W/S.  </a:t>
          </a:r>
          <a:r>
            <a:rPr lang="en-US" sz="1100"/>
            <a:t>Cross-section area is a function of W/S;</a:t>
          </a:r>
          <a:r>
            <a:rPr lang="en-US" sz="1100" baseline="0"/>
            <a:t> so C</a:t>
          </a:r>
          <a:r>
            <a:rPr lang="en-US" sz="1100" baseline="-25000"/>
            <a:t>DO</a:t>
          </a:r>
          <a:r>
            <a:rPr lang="en-US" sz="1100" baseline="0"/>
            <a:t> (Sears-Haack) is also a function of W/S.  This will give errors if W/S is significantly different from the reference value.   It also assumes that K is independent of C</a:t>
          </a:r>
          <a:r>
            <a:rPr lang="en-US" sz="1100" baseline="-25000"/>
            <a:t>L</a:t>
          </a:r>
          <a:r>
            <a:rPr lang="en-US" sz="1100" baseline="0"/>
            <a:t>, which is also not quite true.</a:t>
          </a:r>
        </a:p>
        <a:p>
          <a:endParaRPr lang="en-US" sz="1100" baseline="0"/>
        </a:p>
        <a:p>
          <a:r>
            <a:rPr lang="en-US" sz="1100" baseline="0"/>
            <a:t>Solver must be run multiple times (i.e. for each value of W/S) to find the value of T/W that will achieve the appropriate acceleration time.  For a given value of Reference Wing Loading (i.e. appropriate column),  Set Objective as cell on row for Required Accel Time to Value of 50 (or whatever the required acceleration time is), By Changing cell on row showing value of T/W. </a:t>
          </a:r>
        </a:p>
        <a:p>
          <a:endParaRPr lang="en-US" sz="1100" baseline="0"/>
        </a:p>
        <a:p>
          <a:r>
            <a:rPr lang="en-US" sz="1100" baseline="0"/>
            <a:t>Manually input values in </a:t>
          </a:r>
          <a:r>
            <a:rPr lang="en-US" sz="1100" baseline="0">
              <a:solidFill>
                <a:srgbClr val="FF0000"/>
              </a:solidFill>
            </a:rPr>
            <a:t>red</a:t>
          </a:r>
          <a:endParaRPr 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absoluteAnchor>
    <xdr:pos x="0" y="0"/>
    <xdr:ext cx="8572500" cy="58349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72500" cy="58349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1560" cy="62941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1875" cy="627856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CP61"/>
  <sheetViews>
    <sheetView zoomScale="142" zoomScaleNormal="142" workbookViewId="0">
      <selection activeCell="F24" sqref="F24"/>
    </sheetView>
  </sheetViews>
  <sheetFormatPr defaultColWidth="9.625" defaultRowHeight="12" x14ac:dyDescent="0.15"/>
  <cols>
    <col min="1" max="1" width="27.625" customWidth="1"/>
  </cols>
  <sheetData>
    <row r="1" spans="1:15" ht="12.75" x14ac:dyDescent="0.2">
      <c r="A1" s="2" t="s">
        <v>0</v>
      </c>
      <c r="B1" s="3"/>
      <c r="C1" s="3"/>
      <c r="D1" s="2" t="s">
        <v>1</v>
      </c>
      <c r="E1" s="3"/>
      <c r="F1" s="2" t="s">
        <v>2</v>
      </c>
      <c r="G1" s="4"/>
      <c r="H1" s="4"/>
      <c r="I1" s="5" t="s">
        <v>3</v>
      </c>
      <c r="J1" s="4"/>
      <c r="K1" s="4"/>
      <c r="L1" s="4"/>
      <c r="M1" s="4"/>
      <c r="N1" s="4"/>
      <c r="O1" s="4"/>
    </row>
    <row r="2" spans="1:15" ht="12.75" x14ac:dyDescent="0.2">
      <c r="A2" s="2" t="s">
        <v>4</v>
      </c>
      <c r="B2" s="3"/>
      <c r="C2" s="3"/>
      <c r="D2" s="2" t="s">
        <v>5</v>
      </c>
      <c r="E2" s="3"/>
      <c r="F2" s="6">
        <f ca="1">NOW()</f>
        <v>41612.464664930558</v>
      </c>
      <c r="G2" s="4"/>
      <c r="H2" s="4"/>
      <c r="I2" s="5" t="s">
        <v>6</v>
      </c>
      <c r="J2" s="5" t="s">
        <v>7</v>
      </c>
      <c r="K2" s="4"/>
      <c r="L2" s="4"/>
      <c r="M2" s="4"/>
      <c r="N2" s="4"/>
      <c r="O2" s="4"/>
    </row>
    <row r="3" spans="1:15" ht="12.75" x14ac:dyDescent="0.2">
      <c r="A3" s="5" t="s">
        <v>777</v>
      </c>
      <c r="B3" s="4"/>
      <c r="C3" s="4"/>
      <c r="D3" s="4"/>
      <c r="E3" s="4"/>
      <c r="F3" s="4"/>
      <c r="G3" s="4"/>
      <c r="H3" s="4"/>
      <c r="I3" s="4"/>
      <c r="J3" s="5" t="s">
        <v>8</v>
      </c>
      <c r="K3" s="4"/>
      <c r="L3" s="4"/>
      <c r="M3" s="4"/>
      <c r="N3" s="4"/>
    </row>
    <row r="4" spans="1:15" ht="12.75" x14ac:dyDescent="0.2">
      <c r="A4" s="5"/>
      <c r="B4" s="4"/>
      <c r="C4" s="4"/>
      <c r="D4" s="4"/>
      <c r="E4" s="4"/>
      <c r="F4" s="4"/>
      <c r="G4" s="4"/>
      <c r="H4" s="4"/>
      <c r="I4" s="4"/>
      <c r="J4" s="4"/>
      <c r="K4" s="4"/>
      <c r="L4" s="4"/>
      <c r="M4" s="4"/>
      <c r="N4" s="4"/>
    </row>
    <row r="5" spans="1:15" ht="12.75" x14ac:dyDescent="0.2">
      <c r="A5" s="4"/>
      <c r="B5" s="4"/>
      <c r="C5" s="4"/>
      <c r="D5" s="4"/>
      <c r="E5" s="4"/>
      <c r="F5" s="4"/>
      <c r="G5" s="4"/>
      <c r="H5" s="4"/>
      <c r="I5" s="4"/>
      <c r="J5" s="4"/>
      <c r="K5" s="4"/>
      <c r="L5" s="4"/>
      <c r="M5" s="4"/>
      <c r="N5" s="4"/>
    </row>
    <row r="6" spans="1:15" ht="12.75" x14ac:dyDescent="0.2">
      <c r="A6" s="5" t="s">
        <v>703</v>
      </c>
      <c r="B6" s="4"/>
      <c r="C6" s="4"/>
      <c r="D6" s="4"/>
      <c r="E6" s="4"/>
      <c r="F6" s="4"/>
      <c r="G6" s="4"/>
      <c r="H6" s="4"/>
      <c r="I6" s="4"/>
      <c r="J6" s="4"/>
      <c r="K6" s="4"/>
      <c r="L6" s="4"/>
      <c r="M6" s="4"/>
      <c r="N6" s="4"/>
    </row>
    <row r="7" spans="1:15" ht="12.75" x14ac:dyDescent="0.2">
      <c r="A7" s="4"/>
      <c r="B7" s="4"/>
      <c r="C7" s="4"/>
      <c r="D7" s="4"/>
      <c r="E7" s="4"/>
      <c r="F7" s="4"/>
      <c r="G7" s="4"/>
      <c r="H7" s="4"/>
      <c r="I7" s="4"/>
      <c r="J7" s="4"/>
      <c r="K7" s="4"/>
      <c r="L7" s="4"/>
      <c r="M7" s="4"/>
      <c r="N7" s="4"/>
    </row>
    <row r="8" spans="1:15" ht="12.75" x14ac:dyDescent="0.2">
      <c r="A8" s="2" t="s">
        <v>726</v>
      </c>
      <c r="B8" s="5"/>
      <c r="C8" s="4"/>
      <c r="D8" s="4"/>
      <c r="E8" s="4"/>
      <c r="F8" s="4"/>
      <c r="G8" s="4"/>
      <c r="H8" s="4"/>
      <c r="I8" s="4"/>
      <c r="J8" s="4"/>
      <c r="K8" s="4"/>
      <c r="L8" s="4"/>
      <c r="M8" s="4"/>
      <c r="N8" s="4"/>
    </row>
    <row r="9" spans="1:15" ht="12.75" x14ac:dyDescent="0.2">
      <c r="A9" s="5" t="s">
        <v>708</v>
      </c>
      <c r="B9" s="5" t="s">
        <v>10</v>
      </c>
      <c r="C9" s="4"/>
      <c r="D9" s="4"/>
      <c r="E9" s="4"/>
      <c r="F9" s="4"/>
      <c r="G9" s="4"/>
      <c r="H9" s="4"/>
      <c r="I9" s="4"/>
      <c r="J9" s="4"/>
      <c r="K9" s="4"/>
      <c r="L9" s="4"/>
      <c r="M9" s="4"/>
      <c r="N9" s="4"/>
    </row>
    <row r="10" spans="1:15" ht="12.75" x14ac:dyDescent="0.2">
      <c r="A10" s="5" t="s">
        <v>627</v>
      </c>
      <c r="B10" s="5" t="s">
        <v>9</v>
      </c>
      <c r="C10" s="4"/>
      <c r="D10" s="4"/>
      <c r="E10" s="4"/>
      <c r="F10" s="4"/>
      <c r="G10" s="4"/>
      <c r="H10" s="4"/>
      <c r="I10" s="4"/>
      <c r="J10" s="4"/>
      <c r="K10" s="4"/>
      <c r="L10" s="4"/>
      <c r="M10" s="4"/>
      <c r="N10" s="4"/>
    </row>
    <row r="11" spans="1:15" ht="12.75" x14ac:dyDescent="0.2">
      <c r="F11" s="4"/>
      <c r="G11" s="4"/>
      <c r="H11" s="4"/>
      <c r="I11" s="4"/>
      <c r="J11" s="4"/>
      <c r="K11" s="4"/>
      <c r="L11" s="4"/>
      <c r="M11" s="4"/>
      <c r="N11" s="4"/>
    </row>
    <row r="12" spans="1:15" ht="12.75" x14ac:dyDescent="0.2">
      <c r="A12" s="5" t="s">
        <v>707</v>
      </c>
      <c r="B12" s="5" t="s">
        <v>15</v>
      </c>
      <c r="C12" s="4"/>
      <c r="D12" s="4"/>
      <c r="E12" s="4"/>
      <c r="F12" s="4"/>
      <c r="G12" s="4"/>
      <c r="H12" s="4"/>
      <c r="I12" s="4"/>
      <c r="J12" s="4"/>
      <c r="K12" s="4"/>
      <c r="L12" s="4"/>
      <c r="M12" s="4"/>
      <c r="N12" s="4"/>
    </row>
    <row r="13" spans="1:15" ht="12.75" x14ac:dyDescent="0.2">
      <c r="A13" s="5" t="s">
        <v>709</v>
      </c>
      <c r="B13" s="5" t="s">
        <v>11</v>
      </c>
      <c r="C13" s="4"/>
      <c r="D13" s="4"/>
      <c r="E13" s="4"/>
      <c r="F13" s="4"/>
      <c r="G13" s="4"/>
      <c r="H13" s="4"/>
      <c r="I13" s="4"/>
      <c r="J13" s="4"/>
      <c r="K13" s="4"/>
      <c r="L13" s="4"/>
      <c r="M13" s="4"/>
      <c r="N13" s="4"/>
    </row>
    <row r="14" spans="1:15" ht="12.75" x14ac:dyDescent="0.2">
      <c r="A14" s="5" t="s">
        <v>710</v>
      </c>
      <c r="B14" s="5" t="s">
        <v>12</v>
      </c>
      <c r="C14" s="4"/>
      <c r="D14" s="4"/>
      <c r="E14" s="4"/>
      <c r="F14" s="4"/>
      <c r="G14" s="4"/>
      <c r="H14" s="4"/>
      <c r="I14" s="4"/>
      <c r="J14" s="4"/>
      <c r="K14" s="4"/>
      <c r="L14" s="4"/>
      <c r="M14" s="4"/>
      <c r="N14" s="4"/>
    </row>
    <row r="15" spans="1:15" ht="12.75" x14ac:dyDescent="0.2">
      <c r="A15" s="5" t="s">
        <v>712</v>
      </c>
      <c r="B15" s="5" t="s">
        <v>13</v>
      </c>
      <c r="C15" s="4"/>
      <c r="D15" s="4"/>
      <c r="E15" s="4"/>
      <c r="F15" s="4"/>
      <c r="G15" s="4"/>
      <c r="H15" s="4"/>
      <c r="I15" s="4"/>
      <c r="J15" s="4"/>
      <c r="K15" s="4"/>
      <c r="L15" s="4"/>
      <c r="M15" s="4"/>
      <c r="N15" s="4"/>
    </row>
    <row r="16" spans="1:15" ht="12.75" x14ac:dyDescent="0.2">
      <c r="A16" s="5" t="s">
        <v>711</v>
      </c>
      <c r="B16" s="5" t="s">
        <v>14</v>
      </c>
      <c r="C16" s="4"/>
      <c r="D16" s="4"/>
      <c r="E16" s="4"/>
      <c r="F16" s="4"/>
      <c r="G16" s="4"/>
      <c r="H16" s="4"/>
      <c r="I16" s="4"/>
      <c r="J16" s="4"/>
      <c r="K16" s="4"/>
      <c r="L16" s="4"/>
      <c r="M16" s="4"/>
      <c r="N16" s="4"/>
    </row>
    <row r="17" spans="1:94" ht="12.75" x14ac:dyDescent="0.2">
      <c r="A17" s="5" t="s">
        <v>773</v>
      </c>
      <c r="B17" s="5" t="s">
        <v>774</v>
      </c>
      <c r="C17" s="4"/>
      <c r="D17" s="4"/>
      <c r="E17" s="4"/>
      <c r="F17" s="4"/>
      <c r="G17" s="4"/>
      <c r="H17" s="4"/>
      <c r="I17" s="4"/>
      <c r="J17" s="4"/>
      <c r="K17" s="4"/>
      <c r="L17" s="4"/>
      <c r="M17" s="4"/>
      <c r="N17" s="4"/>
    </row>
    <row r="18" spans="1:94" ht="12.75" x14ac:dyDescent="0.2">
      <c r="A18" s="4"/>
      <c r="B18" s="4"/>
      <c r="C18" s="4"/>
      <c r="D18" s="4"/>
      <c r="E18" s="4"/>
      <c r="F18" s="4"/>
      <c r="G18" s="4"/>
      <c r="H18" s="4"/>
      <c r="I18" s="4"/>
      <c r="J18" s="4"/>
      <c r="K18" s="4"/>
      <c r="L18" s="4"/>
      <c r="M18" s="4"/>
      <c r="N18" s="4"/>
    </row>
    <row r="19" spans="1:94" ht="12.75" x14ac:dyDescent="0.2">
      <c r="A19" s="4"/>
      <c r="B19" s="4"/>
      <c r="C19" s="4"/>
      <c r="D19" s="4"/>
      <c r="E19" s="4"/>
      <c r="F19" s="4"/>
      <c r="G19" s="4"/>
      <c r="H19" s="4"/>
      <c r="I19" s="4"/>
      <c r="J19" s="4"/>
      <c r="K19" s="4"/>
      <c r="L19" s="4"/>
      <c r="M19" s="4"/>
      <c r="N19" s="4"/>
    </row>
    <row r="23" spans="1:94" ht="12.75" x14ac:dyDescent="0.2">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row>
    <row r="24" spans="1:94" ht="12.75" x14ac:dyDescent="0.2">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row>
    <row r="25" spans="1:94" ht="12.75" x14ac:dyDescent="0.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row>
    <row r="26" spans="1:94" ht="12.75" x14ac:dyDescent="0.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row>
    <row r="27" spans="1:94" ht="12.75" x14ac:dyDescent="0.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row>
    <row r="28" spans="1:94" ht="12.75" x14ac:dyDescent="0.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row>
    <row r="29" spans="1:94" ht="12.75" x14ac:dyDescent="0.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row>
    <row r="30" spans="1:94" ht="12.75" x14ac:dyDescent="0.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row>
    <row r="31" spans="1:94" ht="12.75" x14ac:dyDescent="0.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row>
    <row r="32" spans="1:94" ht="12.75" x14ac:dyDescent="0.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row>
    <row r="33" spans="1:94" ht="12.75" x14ac:dyDescent="0.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row>
    <row r="34" spans="1:94" ht="12.75" x14ac:dyDescent="0.2">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row>
    <row r="35" spans="1:94" ht="12.75" x14ac:dyDescent="0.2">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row>
    <row r="36" spans="1:94" ht="12.75" x14ac:dyDescent="0.2">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row>
    <row r="37" spans="1:94" ht="12.75" x14ac:dyDescent="0.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row>
    <row r="38" spans="1:94" ht="12.75" x14ac:dyDescent="0.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row>
    <row r="39" spans="1:94" ht="12.75" x14ac:dyDescent="0.2">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row>
    <row r="40" spans="1:94" ht="12.75" x14ac:dyDescent="0.2">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row>
    <row r="41" spans="1:94" ht="12.75" x14ac:dyDescent="0.2">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row>
    <row r="42" spans="1:94" ht="12.75" x14ac:dyDescent="0.2">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row>
    <row r="43" spans="1:94" ht="12.75" x14ac:dyDescent="0.2">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row>
    <row r="44" spans="1:94" ht="12.75"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row>
    <row r="45" spans="1:94" ht="12.75"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row>
    <row r="46" spans="1:94" ht="12.75"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row>
    <row r="47" spans="1:94" ht="12.75"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row>
    <row r="48" spans="1:94" ht="12.75"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row>
    <row r="60" spans="1:94" ht="12.75"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5" t="s">
        <v>702</v>
      </c>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row>
    <row r="61" spans="1:94" ht="12.75"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row>
  </sheetData>
  <phoneticPr fontId="1"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opLeftCell="A33" workbookViewId="0">
      <selection activeCell="C56" sqref="C56"/>
    </sheetView>
  </sheetViews>
  <sheetFormatPr defaultRowHeight="12" x14ac:dyDescent="0.15"/>
  <cols>
    <col min="1" max="1" width="28.25" customWidth="1"/>
    <col min="8" max="8" width="10.25" customWidth="1"/>
  </cols>
  <sheetData>
    <row r="1" spans="1:15" ht="12.75" x14ac:dyDescent="0.2">
      <c r="A1" s="2" t="s">
        <v>727</v>
      </c>
      <c r="B1" s="4"/>
      <c r="C1" s="4"/>
      <c r="D1" s="4"/>
      <c r="E1" s="4"/>
      <c r="F1" s="4"/>
      <c r="G1" s="4"/>
      <c r="H1" s="4"/>
      <c r="I1" s="4"/>
      <c r="J1" s="4"/>
      <c r="K1" s="4"/>
      <c r="L1" s="4"/>
      <c r="M1" s="4"/>
      <c r="N1" s="4"/>
      <c r="O1" s="4"/>
    </row>
    <row r="2" spans="1:15" ht="12.75" x14ac:dyDescent="0.2">
      <c r="A2" s="5" t="s">
        <v>242</v>
      </c>
      <c r="B2" s="4"/>
      <c r="C2" s="4"/>
      <c r="D2" s="4"/>
      <c r="E2" s="4"/>
      <c r="F2" s="4"/>
      <c r="G2" s="4"/>
      <c r="H2" s="4"/>
      <c r="I2" s="4"/>
      <c r="J2" s="4"/>
      <c r="K2" s="4"/>
      <c r="L2" s="4"/>
      <c r="M2" s="4"/>
      <c r="N2" s="4"/>
      <c r="O2" s="4"/>
    </row>
    <row r="3" spans="1:15" ht="12.75" x14ac:dyDescent="0.2">
      <c r="A3" s="4"/>
      <c r="B3" s="4"/>
      <c r="C3" s="4"/>
      <c r="D3" s="4"/>
      <c r="E3" s="4"/>
      <c r="F3" s="4"/>
      <c r="G3" s="4"/>
      <c r="H3" s="4"/>
      <c r="I3" s="4"/>
      <c r="J3" s="4"/>
      <c r="K3" s="4"/>
      <c r="L3" s="4"/>
      <c r="M3" s="4"/>
      <c r="N3" s="4"/>
      <c r="O3" s="4"/>
    </row>
    <row r="4" spans="1:15" ht="12.75" x14ac:dyDescent="0.2">
      <c r="A4" s="4"/>
      <c r="B4" s="4"/>
      <c r="C4" s="4"/>
      <c r="D4" s="4"/>
      <c r="E4" s="4"/>
      <c r="F4" s="4"/>
      <c r="G4" s="4"/>
      <c r="H4" s="4"/>
      <c r="I4" s="4"/>
      <c r="J4" s="4"/>
      <c r="K4" s="4"/>
      <c r="L4" s="4"/>
      <c r="M4" s="4"/>
      <c r="N4" s="4"/>
      <c r="O4" s="4"/>
    </row>
    <row r="5" spans="1:15" ht="12.75" x14ac:dyDescent="0.2">
      <c r="A5" s="2" t="s">
        <v>209</v>
      </c>
      <c r="B5" s="4"/>
      <c r="C5" s="4"/>
      <c r="D5" s="4"/>
      <c r="E5" s="2" t="s">
        <v>210</v>
      </c>
      <c r="F5" s="3"/>
      <c r="G5" s="4"/>
      <c r="H5" s="4"/>
      <c r="I5" s="4"/>
      <c r="J5" s="4"/>
      <c r="K5" s="4"/>
      <c r="L5" s="4"/>
      <c r="M5" s="4"/>
      <c r="N5" s="4"/>
      <c r="O5" s="4"/>
    </row>
    <row r="6" spans="1:15" ht="12.75" x14ac:dyDescent="0.2">
      <c r="A6" s="4"/>
      <c r="B6" s="4"/>
      <c r="C6" s="4"/>
      <c r="D6" s="4"/>
      <c r="E6" s="4"/>
      <c r="F6" s="4"/>
      <c r="G6" s="4"/>
      <c r="H6" s="4"/>
      <c r="I6" s="4"/>
      <c r="J6" s="4"/>
      <c r="K6" s="4"/>
      <c r="L6" s="4"/>
      <c r="M6" s="4"/>
      <c r="N6" s="4"/>
      <c r="O6" s="4"/>
    </row>
    <row r="7" spans="1:15" ht="12.75" x14ac:dyDescent="0.2">
      <c r="A7" s="63" t="s">
        <v>243</v>
      </c>
      <c r="B7" s="12"/>
      <c r="C7" s="12"/>
      <c r="D7" s="4"/>
      <c r="E7" s="4"/>
      <c r="F7" s="4"/>
      <c r="G7" s="4"/>
      <c r="H7" s="4"/>
      <c r="I7" s="4"/>
      <c r="J7" s="4"/>
      <c r="K7" s="4"/>
      <c r="L7" s="4"/>
      <c r="M7" s="4"/>
      <c r="N7" s="4"/>
      <c r="O7" s="4"/>
    </row>
    <row r="8" spans="1:15" ht="12.75" x14ac:dyDescent="0.2">
      <c r="A8" s="9" t="s">
        <v>244</v>
      </c>
      <c r="B8" s="9" t="s">
        <v>245</v>
      </c>
      <c r="C8" s="10">
        <v>1</v>
      </c>
      <c r="D8" s="4"/>
      <c r="E8" s="4"/>
      <c r="F8" s="4"/>
      <c r="G8" s="4"/>
      <c r="H8" s="4"/>
      <c r="I8" s="4"/>
      <c r="J8" s="4"/>
      <c r="K8" s="4"/>
      <c r="L8" s="4"/>
      <c r="M8" s="4"/>
      <c r="N8" s="4"/>
      <c r="O8" s="4"/>
    </row>
    <row r="9" spans="1:15" ht="12.75" x14ac:dyDescent="0.2">
      <c r="A9" s="9" t="s">
        <v>246</v>
      </c>
      <c r="B9" s="9" t="s">
        <v>247</v>
      </c>
      <c r="C9" s="10">
        <v>0.7</v>
      </c>
      <c r="D9" s="4"/>
      <c r="E9" s="4"/>
      <c r="F9" s="4"/>
      <c r="G9" s="4"/>
      <c r="H9" s="4"/>
      <c r="I9" s="4"/>
      <c r="J9" s="4"/>
      <c r="K9" s="4"/>
      <c r="L9" s="4"/>
      <c r="M9" s="4"/>
      <c r="N9" s="4"/>
      <c r="O9" s="4"/>
    </row>
    <row r="10" spans="1:15" ht="12.75" x14ac:dyDescent="0.2">
      <c r="A10" s="63" t="s">
        <v>248</v>
      </c>
      <c r="B10" s="12"/>
      <c r="C10" s="12"/>
      <c r="D10" s="4"/>
      <c r="E10" s="108" t="s">
        <v>249</v>
      </c>
      <c r="F10" s="109"/>
      <c r="G10" s="110"/>
      <c r="H10" s="9" t="s">
        <v>250</v>
      </c>
      <c r="I10" s="14">
        <f>$C$12*Atmosphere!E18</f>
        <v>234.62647870331557</v>
      </c>
      <c r="J10" s="4"/>
      <c r="K10" s="4"/>
      <c r="L10" s="4"/>
      <c r="M10" s="4"/>
      <c r="N10" s="4"/>
      <c r="O10" s="4"/>
    </row>
    <row r="11" spans="1:15" ht="12.75" x14ac:dyDescent="0.2">
      <c r="A11" s="9" t="s">
        <v>251</v>
      </c>
      <c r="B11" s="9" t="s">
        <v>252</v>
      </c>
      <c r="C11" s="10">
        <v>1</v>
      </c>
      <c r="D11" s="4"/>
      <c r="E11" s="108" t="s">
        <v>253</v>
      </c>
      <c r="F11" s="109"/>
      <c r="G11" s="110"/>
      <c r="H11" s="9" t="s">
        <v>254</v>
      </c>
      <c r="I11" s="14">
        <f>$C$14*Atmosphere!E20</f>
        <v>845.19366227122816</v>
      </c>
      <c r="J11" s="4"/>
      <c r="K11" s="4"/>
      <c r="L11" s="4"/>
      <c r="M11" s="4"/>
      <c r="N11" s="4"/>
      <c r="O11" s="4"/>
    </row>
    <row r="12" spans="1:15" ht="12.75" x14ac:dyDescent="0.2">
      <c r="A12" s="9" t="s">
        <v>255</v>
      </c>
      <c r="B12" s="9" t="s">
        <v>256</v>
      </c>
      <c r="C12" s="10">
        <v>0.2</v>
      </c>
      <c r="D12" s="4"/>
      <c r="E12" s="9" t="s">
        <v>257</v>
      </c>
      <c r="F12" s="76"/>
      <c r="G12" s="76"/>
      <c r="H12" s="9" t="s">
        <v>258</v>
      </c>
      <c r="I12" s="14">
        <f>(Atmosphere!G18*I10^2+Atmosphere!G20*I11^2)/4</f>
        <v>231.54779959432881</v>
      </c>
      <c r="J12" s="4"/>
      <c r="K12" s="4"/>
      <c r="L12" s="4"/>
      <c r="M12" s="4"/>
      <c r="N12" s="4"/>
      <c r="O12" s="4"/>
    </row>
    <row r="13" spans="1:15" ht="12.75" x14ac:dyDescent="0.2">
      <c r="A13" s="9" t="s">
        <v>259</v>
      </c>
      <c r="B13" s="9" t="s">
        <v>260</v>
      </c>
      <c r="C13" s="10">
        <v>0</v>
      </c>
      <c r="D13" s="4"/>
      <c r="E13" s="108" t="s">
        <v>261</v>
      </c>
      <c r="F13" s="109"/>
      <c r="G13" s="110"/>
      <c r="H13" s="9" t="s">
        <v>262</v>
      </c>
      <c r="I13" s="14">
        <f>(C13+C15)/2</f>
        <v>10000</v>
      </c>
      <c r="J13" s="4"/>
      <c r="K13" s="4"/>
      <c r="L13" s="4"/>
      <c r="M13" s="4"/>
      <c r="N13" s="4"/>
      <c r="O13" s="4"/>
    </row>
    <row r="14" spans="1:15" ht="12.75" x14ac:dyDescent="0.2">
      <c r="A14" s="9" t="s">
        <v>263</v>
      </c>
      <c r="B14" s="9" t="s">
        <v>264</v>
      </c>
      <c r="C14" s="10">
        <v>0.77</v>
      </c>
      <c r="D14" s="4"/>
      <c r="E14" s="108" t="s">
        <v>265</v>
      </c>
      <c r="F14" s="109"/>
      <c r="G14" s="110"/>
      <c r="H14" s="9" t="s">
        <v>266</v>
      </c>
      <c r="I14" s="14">
        <f>Baseline!C8/(I12*Aerodynamics!C9+Aerodynamics!I9*Baseline!C8^2/I12)</f>
        <v>19.398103097611333</v>
      </c>
      <c r="J14" s="4"/>
      <c r="K14" s="4"/>
      <c r="L14" s="4"/>
      <c r="M14" s="4"/>
      <c r="N14" s="4"/>
      <c r="O14" s="4"/>
    </row>
    <row r="15" spans="1:15" ht="12.75" x14ac:dyDescent="0.2">
      <c r="A15" s="9" t="s">
        <v>267</v>
      </c>
      <c r="B15" s="9" t="s">
        <v>268</v>
      </c>
      <c r="C15" s="10">
        <v>20000</v>
      </c>
      <c r="D15" s="4"/>
      <c r="E15" s="108" t="s">
        <v>269</v>
      </c>
      <c r="F15" s="109"/>
      <c r="G15" s="110"/>
      <c r="H15" s="9" t="s">
        <v>270</v>
      </c>
      <c r="I15" s="14">
        <f>Baseline!C7*Propulsion!C7*(1-I13/100000*Propulsion!C10)</f>
        <v>0.9900000000000001</v>
      </c>
      <c r="J15" s="4"/>
      <c r="K15" s="4"/>
      <c r="L15" s="4"/>
      <c r="M15" s="4"/>
      <c r="N15" s="4"/>
      <c r="O15" s="4"/>
    </row>
    <row r="16" spans="1:15" ht="12.75" x14ac:dyDescent="0.2">
      <c r="A16" s="63" t="s">
        <v>271</v>
      </c>
      <c r="B16" s="12"/>
      <c r="C16" s="12"/>
      <c r="D16" s="4"/>
      <c r="E16" s="108" t="s">
        <v>272</v>
      </c>
      <c r="F16" s="109"/>
      <c r="G16" s="110"/>
      <c r="H16" s="9" t="s">
        <v>273</v>
      </c>
      <c r="I16" s="14">
        <f>C15-C13+(I11^2-I10^2)/(2*Atmosphere!E4)</f>
        <v>30245.893302584904</v>
      </c>
      <c r="J16" s="4"/>
      <c r="K16" s="4"/>
      <c r="L16" s="4"/>
      <c r="M16" s="4"/>
      <c r="N16" s="4"/>
      <c r="O16" s="4"/>
    </row>
    <row r="17" spans="1:15" ht="12.75" x14ac:dyDescent="0.2">
      <c r="A17" s="9" t="s">
        <v>274</v>
      </c>
      <c r="B17" s="9" t="s">
        <v>275</v>
      </c>
      <c r="C17" s="10">
        <v>1</v>
      </c>
      <c r="D17" s="4"/>
      <c r="E17" s="12"/>
      <c r="F17" s="12"/>
      <c r="G17" s="12"/>
      <c r="H17" s="12"/>
      <c r="I17" s="12"/>
      <c r="J17" s="4"/>
      <c r="K17" s="4"/>
      <c r="L17" s="4"/>
      <c r="M17" s="4"/>
      <c r="N17" s="4"/>
      <c r="O17" s="4"/>
    </row>
    <row r="18" spans="1:15" ht="12.75" x14ac:dyDescent="0.2">
      <c r="A18" s="9" t="s">
        <v>276</v>
      </c>
      <c r="B18" s="9" t="s">
        <v>277</v>
      </c>
      <c r="C18" s="10">
        <v>4000</v>
      </c>
      <c r="D18" s="4"/>
      <c r="E18" s="12"/>
      <c r="F18" s="12"/>
      <c r="G18" s="12"/>
      <c r="H18" s="12"/>
      <c r="I18" s="12"/>
      <c r="J18" s="4"/>
      <c r="K18" s="4"/>
      <c r="L18" s="4"/>
      <c r="M18" s="4"/>
      <c r="N18" s="4"/>
      <c r="O18" s="4"/>
    </row>
    <row r="19" spans="1:15" ht="12.75" x14ac:dyDescent="0.2">
      <c r="A19" s="63" t="s">
        <v>278</v>
      </c>
      <c r="B19" s="12"/>
      <c r="C19" s="13"/>
      <c r="D19" s="4"/>
      <c r="E19" s="12"/>
      <c r="F19" s="12"/>
      <c r="G19" s="12"/>
      <c r="H19" s="12"/>
      <c r="I19" s="12"/>
      <c r="J19" s="4"/>
      <c r="K19" s="4"/>
      <c r="L19" s="4"/>
      <c r="M19" s="4"/>
      <c r="N19" s="4"/>
      <c r="O19" s="4"/>
    </row>
    <row r="20" spans="1:15" ht="12.75" x14ac:dyDescent="0.2">
      <c r="A20" s="9" t="s">
        <v>279</v>
      </c>
      <c r="B20" s="9" t="s">
        <v>280</v>
      </c>
      <c r="C20" s="10">
        <v>1</v>
      </c>
      <c r="D20" s="4"/>
      <c r="E20" s="12"/>
      <c r="F20" s="12"/>
      <c r="G20" s="12"/>
      <c r="H20" s="12"/>
      <c r="I20" s="12"/>
      <c r="J20" s="4"/>
      <c r="K20" s="4"/>
      <c r="L20" s="4"/>
      <c r="M20" s="4"/>
      <c r="N20" s="4"/>
      <c r="O20" s="4"/>
    </row>
    <row r="21" spans="1:15" ht="12.75" x14ac:dyDescent="0.2">
      <c r="A21" s="9" t="s">
        <v>281</v>
      </c>
      <c r="B21" s="9" t="s">
        <v>282</v>
      </c>
      <c r="C21" s="10">
        <v>30000</v>
      </c>
      <c r="D21" s="4"/>
      <c r="E21" s="77" t="s">
        <v>283</v>
      </c>
      <c r="F21" s="78"/>
      <c r="G21" s="78"/>
      <c r="H21" s="9" t="s">
        <v>284</v>
      </c>
      <c r="I21" s="14">
        <f>Atmosphere!E23*$C$26</f>
        <v>1586.8461653139557</v>
      </c>
      <c r="J21" s="4"/>
      <c r="K21" s="4"/>
      <c r="L21" s="4"/>
      <c r="M21" s="4"/>
      <c r="N21" s="4"/>
      <c r="O21" s="4"/>
    </row>
    <row r="22" spans="1:15" ht="12.75" x14ac:dyDescent="0.2">
      <c r="A22" s="9" t="s">
        <v>285</v>
      </c>
      <c r="B22" s="9" t="s">
        <v>286</v>
      </c>
      <c r="C22" s="10">
        <v>0.3</v>
      </c>
      <c r="D22" s="4"/>
      <c r="E22" s="105" t="s">
        <v>287</v>
      </c>
      <c r="F22" s="106"/>
      <c r="G22" s="107"/>
      <c r="H22" s="9" t="s">
        <v>288</v>
      </c>
      <c r="I22" s="14">
        <f>I24/(I23*Aerodynamics!C12+Aerodynamics!C13*I24^2/I23)</f>
        <v>1.0080150737140063</v>
      </c>
      <c r="J22" s="4"/>
      <c r="K22" s="4"/>
      <c r="L22" s="4"/>
      <c r="M22" s="4"/>
      <c r="N22" s="4"/>
      <c r="O22" s="4"/>
    </row>
    <row r="23" spans="1:15" ht="12.75" x14ac:dyDescent="0.2">
      <c r="A23" s="9" t="s">
        <v>289</v>
      </c>
      <c r="B23" s="9" t="s">
        <v>290</v>
      </c>
      <c r="C23" s="10">
        <v>0.08</v>
      </c>
      <c r="D23" s="4"/>
      <c r="E23" s="105" t="s">
        <v>291</v>
      </c>
      <c r="F23" s="106"/>
      <c r="G23" s="107"/>
      <c r="H23" s="9" t="s">
        <v>292</v>
      </c>
      <c r="I23" s="14">
        <f>(Atmosphere!G20*I11^2+Atmosphere!G23*I21^2)/4</f>
        <v>697.24199206292644</v>
      </c>
      <c r="J23" s="4"/>
      <c r="K23" s="4"/>
      <c r="L23" s="4"/>
      <c r="M23" s="4"/>
      <c r="N23" s="4"/>
      <c r="O23" s="4"/>
    </row>
    <row r="24" spans="1:15" ht="12.75" x14ac:dyDescent="0.2">
      <c r="A24" s="63" t="s">
        <v>293</v>
      </c>
      <c r="B24" s="12"/>
      <c r="C24" s="13"/>
      <c r="D24" s="4"/>
      <c r="E24" s="105" t="s">
        <v>294</v>
      </c>
      <c r="F24" s="106"/>
      <c r="G24" s="107"/>
      <c r="H24" s="9" t="s">
        <v>295</v>
      </c>
      <c r="I24" s="15">
        <f>C67/C62*Baseline!C8</f>
        <v>30.074663253923156</v>
      </c>
      <c r="J24" s="4"/>
      <c r="K24" s="4"/>
      <c r="L24" s="4"/>
      <c r="M24" s="4"/>
      <c r="N24" s="4"/>
      <c r="O24" s="4"/>
    </row>
    <row r="25" spans="1:15" ht="12.75" x14ac:dyDescent="0.2">
      <c r="A25" s="9" t="s">
        <v>296</v>
      </c>
      <c r="B25" s="9" t="s">
        <v>297</v>
      </c>
      <c r="C25" s="10">
        <v>0</v>
      </c>
      <c r="D25" s="4"/>
      <c r="E25" s="105" t="s">
        <v>298</v>
      </c>
      <c r="F25" s="106"/>
      <c r="G25" s="107"/>
      <c r="H25" s="9" t="s">
        <v>299</v>
      </c>
      <c r="I25" s="14">
        <f>(C15+C27)/2</f>
        <v>25000</v>
      </c>
      <c r="J25" s="4"/>
      <c r="K25" s="4"/>
      <c r="L25" s="4"/>
      <c r="M25" s="4"/>
      <c r="N25" s="4"/>
      <c r="O25" s="4"/>
    </row>
    <row r="26" spans="1:15" ht="12.75" x14ac:dyDescent="0.2">
      <c r="A26" s="9" t="s">
        <v>223</v>
      </c>
      <c r="B26" s="9" t="s">
        <v>224</v>
      </c>
      <c r="C26" s="10">
        <v>1.5</v>
      </c>
      <c r="D26" s="4"/>
      <c r="E26" s="105" t="s">
        <v>300</v>
      </c>
      <c r="F26" s="106"/>
      <c r="G26" s="107"/>
      <c r="H26" s="9" t="s">
        <v>301</v>
      </c>
      <c r="I26" s="14">
        <f>Baseline!$C$7*(1-I25/100000*Propulsion!$C$10)*$C62/$C67</f>
        <v>2.1945382876860804</v>
      </c>
      <c r="J26" s="4"/>
      <c r="K26" s="4"/>
      <c r="L26" s="4"/>
      <c r="M26" s="4"/>
      <c r="N26" s="4"/>
      <c r="O26" s="4"/>
    </row>
    <row r="27" spans="1:15" ht="12.75" x14ac:dyDescent="0.2">
      <c r="A27" s="9" t="s">
        <v>302</v>
      </c>
      <c r="B27" s="9" t="s">
        <v>303</v>
      </c>
      <c r="C27" s="10">
        <v>30000</v>
      </c>
      <c r="D27" s="4"/>
      <c r="E27" s="105" t="s">
        <v>272</v>
      </c>
      <c r="F27" s="106"/>
      <c r="G27" s="107"/>
      <c r="H27" s="9" t="s">
        <v>304</v>
      </c>
      <c r="I27" s="14">
        <f>C27-C15+(I21^2-I11^2)/(2*Atmosphere!E4)</f>
        <v>38030.838963575479</v>
      </c>
      <c r="J27" s="4"/>
      <c r="K27" s="4"/>
      <c r="L27" s="4"/>
      <c r="M27" s="4"/>
      <c r="N27" s="4"/>
      <c r="O27" s="4"/>
    </row>
    <row r="28" spans="1:15" ht="12.75" x14ac:dyDescent="0.2">
      <c r="A28" s="63" t="s">
        <v>305</v>
      </c>
      <c r="B28" s="12"/>
      <c r="C28" s="13"/>
      <c r="D28" s="4"/>
      <c r="E28" s="78"/>
      <c r="F28" s="78"/>
      <c r="G28" s="78"/>
      <c r="H28" s="12"/>
      <c r="I28" s="12"/>
      <c r="J28" s="4"/>
      <c r="K28" s="4"/>
      <c r="L28" s="4"/>
      <c r="M28" s="4"/>
      <c r="N28" s="4"/>
      <c r="O28" s="4"/>
    </row>
    <row r="29" spans="1:15" ht="12.75" x14ac:dyDescent="0.2">
      <c r="A29" s="9" t="s">
        <v>306</v>
      </c>
      <c r="B29" s="9" t="s">
        <v>307</v>
      </c>
      <c r="C29" s="10">
        <v>0</v>
      </c>
      <c r="D29" s="4"/>
      <c r="E29" s="105" t="s">
        <v>308</v>
      </c>
      <c r="F29" s="106"/>
      <c r="G29" s="107"/>
      <c r="H29" s="9" t="s">
        <v>309</v>
      </c>
      <c r="I29" s="14">
        <f>C69/C62*Baseline!C8</f>
        <v>30.074663253923156</v>
      </c>
      <c r="J29" s="4"/>
      <c r="K29" s="4"/>
      <c r="L29" s="4"/>
      <c r="M29" s="4"/>
      <c r="N29" s="4"/>
      <c r="O29" s="4"/>
    </row>
    <row r="30" spans="1:15" ht="12.75" x14ac:dyDescent="0.2">
      <c r="A30" s="9" t="s">
        <v>310</v>
      </c>
      <c r="B30" s="9" t="s">
        <v>311</v>
      </c>
      <c r="C30" s="10">
        <v>100</v>
      </c>
      <c r="D30" s="4"/>
      <c r="E30" s="105" t="s">
        <v>312</v>
      </c>
      <c r="F30" s="106"/>
      <c r="G30" s="107"/>
      <c r="H30" s="9" t="s">
        <v>313</v>
      </c>
      <c r="I30" s="14">
        <f>Baseline!$C$7*(1-($C$27+$C$35)/2/100000*Propulsion!$C$10)*$C62/$C69</f>
        <v>2.1945382876860804</v>
      </c>
      <c r="J30" s="4"/>
      <c r="K30" s="4"/>
      <c r="L30" s="4"/>
      <c r="M30" s="4"/>
      <c r="N30" s="4"/>
      <c r="O30" s="4"/>
    </row>
    <row r="31" spans="1:15" ht="12.75" x14ac:dyDescent="0.2">
      <c r="A31" s="63" t="s">
        <v>314</v>
      </c>
      <c r="B31" s="12"/>
      <c r="C31" s="13"/>
      <c r="D31" s="4"/>
      <c r="E31" s="77" t="s">
        <v>315</v>
      </c>
      <c r="F31" s="78"/>
      <c r="G31" s="78"/>
      <c r="H31" s="9" t="s">
        <v>316</v>
      </c>
      <c r="I31" s="14">
        <f>Atmosphere!E24*C34</f>
        <v>1055.8191541649201</v>
      </c>
      <c r="J31" s="4"/>
      <c r="K31" s="4"/>
      <c r="L31" s="4"/>
      <c r="M31" s="4"/>
      <c r="N31" s="4"/>
      <c r="O31" s="4"/>
    </row>
    <row r="32" spans="1:15" ht="12.75" x14ac:dyDescent="0.2">
      <c r="A32" s="9" t="s">
        <v>317</v>
      </c>
      <c r="B32" s="9" t="s">
        <v>318</v>
      </c>
      <c r="C32" s="10">
        <v>0</v>
      </c>
      <c r="D32" s="4"/>
      <c r="E32" s="105" t="s">
        <v>319</v>
      </c>
      <c r="F32" s="106"/>
      <c r="G32" s="107"/>
      <c r="H32" s="9" t="s">
        <v>320</v>
      </c>
      <c r="I32" s="14">
        <f>(Atmosphere!G23*I21^2+Atmosphere!G24*I31^2)/4</f>
        <v>1095.3045748908439</v>
      </c>
      <c r="J32" s="4"/>
      <c r="K32" s="4"/>
      <c r="L32" s="4"/>
      <c r="M32" s="4"/>
      <c r="N32" s="4"/>
      <c r="O32" s="4"/>
    </row>
    <row r="33" spans="1:15" ht="12.75" x14ac:dyDescent="0.2">
      <c r="A33" s="9" t="s">
        <v>321</v>
      </c>
      <c r="B33" s="9" t="s">
        <v>322</v>
      </c>
      <c r="C33" s="10">
        <v>2</v>
      </c>
      <c r="D33" s="4"/>
      <c r="E33" s="105" t="s">
        <v>323</v>
      </c>
      <c r="F33" s="106"/>
      <c r="G33" s="107"/>
      <c r="H33" s="9" t="s">
        <v>324</v>
      </c>
      <c r="I33" s="14">
        <f>SQRT($I$32*($I$30-$I$32*Aerodynamics!$C$12/$I$29)/(Aerodynamics!$C$13*$I$29))</f>
        <v>4.2323184313650053</v>
      </c>
      <c r="J33" s="4"/>
      <c r="K33" s="4"/>
      <c r="L33" s="4"/>
      <c r="M33" s="4"/>
      <c r="N33" s="4"/>
      <c r="O33" s="4"/>
    </row>
    <row r="34" spans="1:15" ht="12.75" x14ac:dyDescent="0.2">
      <c r="A34" s="9" t="s">
        <v>325</v>
      </c>
      <c r="B34" s="9" t="s">
        <v>326</v>
      </c>
      <c r="C34" s="10">
        <v>0.9</v>
      </c>
      <c r="D34" s="4"/>
      <c r="E34" s="105" t="s">
        <v>327</v>
      </c>
      <c r="F34" s="106"/>
      <c r="G34" s="107"/>
      <c r="H34" s="9" t="s">
        <v>328</v>
      </c>
      <c r="I34" s="14">
        <f>57.3*Atmosphere!$E$4*SQRT(I33^2-1)/(($I$31+$I$21)/2)</f>
        <v>5.7378826567799548</v>
      </c>
      <c r="J34" s="4"/>
      <c r="K34" s="4"/>
      <c r="L34" s="4"/>
      <c r="M34" s="4"/>
      <c r="N34" s="4"/>
      <c r="O34" s="4"/>
    </row>
    <row r="35" spans="1:15" ht="12.75" x14ac:dyDescent="0.2">
      <c r="A35" s="9" t="s">
        <v>329</v>
      </c>
      <c r="B35" s="9" t="s">
        <v>330</v>
      </c>
      <c r="C35" s="10">
        <v>0</v>
      </c>
      <c r="D35" s="4"/>
      <c r="E35" s="105" t="s">
        <v>331</v>
      </c>
      <c r="F35" s="106"/>
      <c r="G35" s="107"/>
      <c r="H35" s="9" t="s">
        <v>332</v>
      </c>
      <c r="I35" s="14">
        <f>$C$33*2*PI()*57.3/$I$34</f>
        <v>125.49107036058967</v>
      </c>
      <c r="J35" s="4"/>
      <c r="K35" s="4"/>
      <c r="L35" s="4"/>
      <c r="M35" s="4"/>
      <c r="N35" s="4"/>
      <c r="O35" s="4"/>
    </row>
    <row r="36" spans="1:15" ht="12.75" x14ac:dyDescent="0.2">
      <c r="A36" s="63" t="s">
        <v>333</v>
      </c>
      <c r="B36" s="12"/>
      <c r="C36" s="13"/>
      <c r="D36" s="4"/>
      <c r="E36" s="78"/>
      <c r="F36" s="78"/>
      <c r="G36" s="78"/>
      <c r="H36" s="12"/>
      <c r="I36" s="12"/>
      <c r="J36" s="4"/>
      <c r="K36" s="4"/>
      <c r="L36" s="4"/>
      <c r="M36" s="4"/>
      <c r="N36" s="4"/>
      <c r="O36" s="4"/>
    </row>
    <row r="37" spans="1:15" ht="12.75" x14ac:dyDescent="0.2">
      <c r="A37" s="9" t="s">
        <v>334</v>
      </c>
      <c r="B37" s="9" t="s">
        <v>335</v>
      </c>
      <c r="C37" s="10">
        <v>0</v>
      </c>
      <c r="D37" s="4"/>
      <c r="E37" s="77" t="s">
        <v>283</v>
      </c>
      <c r="F37" s="78"/>
      <c r="G37" s="78"/>
      <c r="H37" s="9" t="s">
        <v>336</v>
      </c>
      <c r="I37" s="14">
        <f>Atmosphere!E26*$C$41</f>
        <v>941.10816026055329</v>
      </c>
      <c r="J37" s="4"/>
      <c r="K37" s="4"/>
      <c r="L37" s="4"/>
      <c r="M37" s="4"/>
      <c r="N37" s="4"/>
      <c r="O37" s="4"/>
    </row>
    <row r="38" spans="1:15" ht="12.75" x14ac:dyDescent="0.2">
      <c r="A38" s="9" t="s">
        <v>337</v>
      </c>
      <c r="B38" s="9" t="s">
        <v>338</v>
      </c>
      <c r="C38" s="10">
        <v>1000</v>
      </c>
      <c r="D38" s="4"/>
      <c r="E38" s="105" t="s">
        <v>287</v>
      </c>
      <c r="F38" s="106"/>
      <c r="G38" s="107"/>
      <c r="H38" s="9" t="s">
        <v>339</v>
      </c>
      <c r="I38" s="14">
        <f>I40/(I39*Aerodynamics!$C$12+Aerodynamics!$C$13*$I$40^2/$I$23)</f>
        <v>0.93525662114877528</v>
      </c>
      <c r="J38" s="4"/>
      <c r="K38" s="4"/>
      <c r="L38" s="4"/>
      <c r="M38" s="4"/>
      <c r="N38" s="4"/>
      <c r="O38" s="4"/>
    </row>
    <row r="39" spans="1:15" ht="12.75" x14ac:dyDescent="0.2">
      <c r="A39" s="63" t="s">
        <v>340</v>
      </c>
      <c r="B39" s="12"/>
      <c r="C39" s="13"/>
      <c r="D39" s="4"/>
      <c r="E39" s="77" t="s">
        <v>291</v>
      </c>
      <c r="F39" s="78"/>
      <c r="G39" s="78"/>
      <c r="H39" s="9" t="s">
        <v>341</v>
      </c>
      <c r="I39" s="14">
        <f>(Atmosphere!G24*$I$31^2+Atmosphere!G26*$I$37^2)/4</f>
        <v>755.26849765848783</v>
      </c>
      <c r="J39" s="4"/>
      <c r="K39" s="4"/>
      <c r="L39" s="4"/>
      <c r="M39" s="4"/>
      <c r="N39" s="4"/>
      <c r="O39" s="4"/>
    </row>
    <row r="40" spans="1:15" ht="12.75" x14ac:dyDescent="0.2">
      <c r="A40" s="9" t="s">
        <v>342</v>
      </c>
      <c r="B40" s="9" t="s">
        <v>343</v>
      </c>
      <c r="C40" s="10">
        <v>0</v>
      </c>
      <c r="D40" s="4"/>
      <c r="E40" s="77" t="s">
        <v>294</v>
      </c>
      <c r="F40" s="78"/>
      <c r="G40" s="78"/>
      <c r="H40" s="9" t="s">
        <v>344</v>
      </c>
      <c r="I40" s="15">
        <f>C71/C62*Baseline!$C$8</f>
        <v>30.074663253923156</v>
      </c>
      <c r="J40" s="4"/>
      <c r="K40" s="4"/>
      <c r="L40" s="4"/>
      <c r="M40" s="4"/>
      <c r="N40" s="4"/>
      <c r="O40" s="4"/>
    </row>
    <row r="41" spans="1:15" ht="12.75" x14ac:dyDescent="0.2">
      <c r="A41" s="9" t="s">
        <v>345</v>
      </c>
      <c r="B41" s="9" t="s">
        <v>346</v>
      </c>
      <c r="C41" s="10">
        <v>0.9</v>
      </c>
      <c r="D41" s="4"/>
      <c r="E41" s="105" t="s">
        <v>298</v>
      </c>
      <c r="F41" s="106"/>
      <c r="G41" s="107"/>
      <c r="H41" s="9" t="s">
        <v>347</v>
      </c>
      <c r="I41" s="14">
        <f>($C$35+$C$42)/2</f>
        <v>16500</v>
      </c>
      <c r="J41" s="4"/>
      <c r="K41" s="4"/>
      <c r="L41" s="4"/>
      <c r="M41" s="4"/>
      <c r="N41" s="4"/>
      <c r="O41" s="4"/>
    </row>
    <row r="42" spans="1:15" ht="12.75" x14ac:dyDescent="0.2">
      <c r="A42" s="9" t="s">
        <v>348</v>
      </c>
      <c r="B42" s="9" t="s">
        <v>349</v>
      </c>
      <c r="C42" s="10">
        <v>33000</v>
      </c>
      <c r="D42" s="4"/>
      <c r="E42" s="105" t="s">
        <v>300</v>
      </c>
      <c r="F42" s="106"/>
      <c r="G42" s="107"/>
      <c r="H42" s="9" t="s">
        <v>350</v>
      </c>
      <c r="I42" s="14">
        <f>Baseline!$C$7*(1-$I$41/100000*Propulsion!$C$10)*$C62/$C71</f>
        <v>2.1945382876860804</v>
      </c>
      <c r="J42" s="4"/>
      <c r="K42" s="4"/>
      <c r="L42" s="4"/>
      <c r="M42" s="4"/>
      <c r="N42" s="4"/>
      <c r="O42" s="4"/>
    </row>
    <row r="43" spans="1:15" ht="12.75" x14ac:dyDescent="0.2">
      <c r="A43" s="63" t="s">
        <v>351</v>
      </c>
      <c r="B43" s="12"/>
      <c r="C43" s="13"/>
      <c r="D43" s="4"/>
      <c r="E43" s="105" t="s">
        <v>272</v>
      </c>
      <c r="F43" s="106"/>
      <c r="G43" s="107"/>
      <c r="H43" s="9" t="s">
        <v>352</v>
      </c>
      <c r="I43" s="14">
        <f>$C$42-$C$35+($I$37^2-$I$31^2)/2/Atmosphere!E4</f>
        <v>29440.145505804005</v>
      </c>
      <c r="J43" s="4"/>
      <c r="K43" s="4"/>
      <c r="L43" s="4"/>
      <c r="M43" s="4"/>
      <c r="N43" s="4"/>
      <c r="O43" s="4"/>
    </row>
    <row r="44" spans="1:15" ht="12.75" x14ac:dyDescent="0.2">
      <c r="A44" s="9" t="s">
        <v>353</v>
      </c>
      <c r="B44" s="9" t="s">
        <v>354</v>
      </c>
      <c r="C44" s="10">
        <v>0</v>
      </c>
      <c r="D44" s="4"/>
      <c r="E44" s="4"/>
      <c r="F44" s="4"/>
      <c r="G44" s="4"/>
      <c r="H44" s="4"/>
      <c r="I44" s="4"/>
      <c r="J44" s="4"/>
      <c r="K44" s="4"/>
      <c r="L44" s="4"/>
      <c r="M44" s="4"/>
      <c r="N44" s="4"/>
      <c r="O44" s="4"/>
    </row>
    <row r="45" spans="1:15" ht="12.75" x14ac:dyDescent="0.2">
      <c r="A45" s="63" t="s">
        <v>355</v>
      </c>
      <c r="B45" s="12"/>
      <c r="C45" s="13"/>
      <c r="D45" s="4"/>
      <c r="E45" s="4"/>
      <c r="F45" s="4"/>
      <c r="G45" s="4"/>
      <c r="H45" s="4"/>
      <c r="I45" s="4"/>
      <c r="J45" s="4"/>
      <c r="K45" s="4"/>
      <c r="L45" s="4"/>
      <c r="M45" s="4"/>
      <c r="N45" s="4"/>
      <c r="O45" s="4"/>
    </row>
    <row r="46" spans="1:15" ht="12.75" x14ac:dyDescent="0.2">
      <c r="A46" s="9" t="s">
        <v>356</v>
      </c>
      <c r="B46" s="9" t="s">
        <v>357</v>
      </c>
      <c r="C46" s="10">
        <v>0</v>
      </c>
      <c r="D46" s="4"/>
      <c r="E46" s="4"/>
      <c r="F46" s="4"/>
      <c r="G46" s="4"/>
      <c r="H46" s="4"/>
      <c r="I46" s="4"/>
      <c r="J46" s="4"/>
      <c r="K46" s="4"/>
      <c r="L46" s="4"/>
      <c r="M46" s="4"/>
      <c r="N46" s="4"/>
      <c r="O46" s="4"/>
    </row>
    <row r="47" spans="1:15" ht="12.75" x14ac:dyDescent="0.2">
      <c r="A47" s="9" t="s">
        <v>267</v>
      </c>
      <c r="B47" s="9" t="s">
        <v>358</v>
      </c>
      <c r="C47" s="10">
        <v>35000</v>
      </c>
      <c r="D47" s="4"/>
      <c r="E47" s="4"/>
      <c r="F47" s="4"/>
      <c r="G47" s="4"/>
      <c r="H47" s="4"/>
      <c r="I47" s="4"/>
      <c r="J47" s="4"/>
      <c r="K47" s="4"/>
      <c r="L47" s="4"/>
      <c r="M47" s="4"/>
      <c r="N47" s="4"/>
      <c r="O47" s="4"/>
    </row>
    <row r="48" spans="1:15" ht="12.75" x14ac:dyDescent="0.2">
      <c r="A48" s="9" t="s">
        <v>263</v>
      </c>
      <c r="B48" s="9" t="s">
        <v>359</v>
      </c>
      <c r="C48" s="10">
        <v>0.77</v>
      </c>
      <c r="D48" s="4"/>
      <c r="E48" s="4"/>
      <c r="F48" s="4"/>
      <c r="G48" s="4"/>
      <c r="H48" s="4"/>
      <c r="I48" s="4"/>
      <c r="J48" s="4"/>
      <c r="K48" s="4"/>
      <c r="L48" s="4"/>
      <c r="M48" s="4"/>
      <c r="N48" s="4"/>
      <c r="O48" s="4"/>
    </row>
    <row r="49" spans="1:15" ht="12.75" x14ac:dyDescent="0.2">
      <c r="A49" s="63" t="s">
        <v>360</v>
      </c>
      <c r="B49" s="12"/>
      <c r="C49" s="13"/>
      <c r="D49" s="4"/>
      <c r="E49" s="4"/>
      <c r="F49" s="4"/>
      <c r="G49" s="4"/>
      <c r="H49" s="4"/>
      <c r="I49" s="4"/>
      <c r="J49" s="4"/>
      <c r="K49" s="4"/>
      <c r="L49" s="4"/>
      <c r="M49" s="4"/>
      <c r="N49" s="4"/>
      <c r="O49" s="4"/>
    </row>
    <row r="50" spans="1:15" ht="12.75" x14ac:dyDescent="0.2">
      <c r="A50" s="9" t="s">
        <v>361</v>
      </c>
      <c r="B50" s="9" t="s">
        <v>362</v>
      </c>
      <c r="C50" s="10">
        <v>1</v>
      </c>
      <c r="D50" s="4"/>
      <c r="E50" s="4"/>
      <c r="F50" s="4"/>
      <c r="G50" s="4"/>
      <c r="H50" s="4"/>
      <c r="I50" s="4"/>
      <c r="J50" s="4"/>
      <c r="K50" s="4"/>
      <c r="L50" s="4"/>
      <c r="M50" s="4"/>
      <c r="N50" s="4"/>
      <c r="O50" s="4"/>
    </row>
    <row r="51" spans="1:15" ht="12.75" x14ac:dyDescent="0.2">
      <c r="A51" s="9" t="s">
        <v>363</v>
      </c>
      <c r="B51" s="9" t="s">
        <v>364</v>
      </c>
      <c r="C51" s="10">
        <v>0.5</v>
      </c>
      <c r="D51" s="4"/>
      <c r="E51" s="4"/>
      <c r="F51" s="4"/>
      <c r="G51" s="4"/>
      <c r="H51" s="4"/>
      <c r="I51" s="4"/>
      <c r="J51" s="4"/>
      <c r="K51" s="4"/>
      <c r="L51" s="4"/>
      <c r="M51" s="4"/>
      <c r="N51" s="4"/>
      <c r="O51" s="4"/>
    </row>
    <row r="52" spans="1:15" ht="12.75" x14ac:dyDescent="0.2">
      <c r="A52" s="63" t="s">
        <v>365</v>
      </c>
      <c r="B52" s="12"/>
      <c r="C52" s="13"/>
      <c r="D52" s="4"/>
      <c r="E52" s="4"/>
      <c r="F52" s="4"/>
      <c r="G52" s="4"/>
      <c r="H52" s="4"/>
      <c r="I52" s="4"/>
      <c r="J52" s="4"/>
      <c r="K52" s="4"/>
      <c r="L52" s="4"/>
      <c r="M52" s="4"/>
      <c r="N52" s="4"/>
      <c r="O52" s="4"/>
    </row>
    <row r="53" spans="1:15" ht="12.75" x14ac:dyDescent="0.2">
      <c r="A53" s="9" t="s">
        <v>366</v>
      </c>
      <c r="B53" s="9" t="s">
        <v>367</v>
      </c>
      <c r="C53" s="10">
        <v>1</v>
      </c>
      <c r="D53" s="4"/>
      <c r="E53" s="4"/>
      <c r="F53" s="4"/>
      <c r="G53" s="4"/>
      <c r="H53" s="4"/>
      <c r="I53" s="4"/>
      <c r="J53" s="4"/>
      <c r="K53" s="4"/>
      <c r="L53" s="4"/>
      <c r="M53" s="4"/>
      <c r="N53" s="4"/>
      <c r="O53" s="4"/>
    </row>
    <row r="54" spans="1:15" ht="12.75" x14ac:dyDescent="0.2">
      <c r="A54" s="9" t="s">
        <v>363</v>
      </c>
      <c r="B54" s="9" t="s">
        <v>368</v>
      </c>
      <c r="C54" s="10">
        <v>2</v>
      </c>
      <c r="D54" s="4"/>
      <c r="E54" s="4"/>
      <c r="F54" s="4"/>
      <c r="G54" s="4"/>
      <c r="H54" s="4"/>
      <c r="I54" s="4"/>
      <c r="J54" s="4"/>
      <c r="K54" s="4"/>
      <c r="L54" s="4"/>
      <c r="M54" s="4"/>
      <c r="N54" s="4"/>
      <c r="O54" s="4"/>
    </row>
    <row r="55" spans="1:15" ht="12.75" x14ac:dyDescent="0.2">
      <c r="A55" s="12"/>
      <c r="B55" s="12"/>
      <c r="C55" s="13"/>
      <c r="D55" s="4"/>
      <c r="E55" s="4"/>
      <c r="F55" s="4"/>
      <c r="G55" s="4"/>
      <c r="H55" s="4"/>
      <c r="I55" s="4"/>
      <c r="J55" s="4"/>
      <c r="K55" s="4"/>
      <c r="L55" s="4"/>
      <c r="M55" s="4"/>
      <c r="N55" s="4"/>
      <c r="O55" s="4"/>
    </row>
    <row r="56" spans="1:15" ht="12.75" x14ac:dyDescent="0.2">
      <c r="A56" s="63" t="s">
        <v>369</v>
      </c>
      <c r="B56" s="9" t="s">
        <v>370</v>
      </c>
      <c r="C56" s="10">
        <v>13</v>
      </c>
      <c r="D56" s="4"/>
      <c r="E56" s="4"/>
      <c r="F56" s="4"/>
      <c r="G56" s="4"/>
      <c r="H56" s="4"/>
      <c r="I56" s="4"/>
      <c r="J56" s="4"/>
      <c r="K56" s="4"/>
      <c r="L56" s="4"/>
      <c r="M56" s="4"/>
      <c r="N56" s="4"/>
      <c r="O56" s="4"/>
    </row>
    <row r="57" spans="1:15" ht="12.75" x14ac:dyDescent="0.2">
      <c r="A57" s="4"/>
      <c r="B57" s="4"/>
      <c r="C57" s="4"/>
      <c r="D57" s="4"/>
      <c r="E57" s="4"/>
      <c r="F57" s="4"/>
      <c r="G57" s="4"/>
      <c r="H57" s="4"/>
      <c r="I57" s="4"/>
      <c r="J57" s="4"/>
      <c r="K57" s="4"/>
      <c r="L57" s="4"/>
      <c r="M57" s="4"/>
      <c r="N57" s="4"/>
      <c r="O57" s="4"/>
    </row>
    <row r="58" spans="1:15" ht="12.75" x14ac:dyDescent="0.2">
      <c r="A58" s="4"/>
      <c r="B58" s="4"/>
      <c r="C58" s="4"/>
      <c r="D58" s="4"/>
      <c r="E58" s="4"/>
      <c r="F58" s="4"/>
      <c r="G58" s="4"/>
      <c r="H58" s="4"/>
      <c r="I58" s="4"/>
      <c r="J58" s="4"/>
      <c r="K58" s="4"/>
      <c r="L58" s="4"/>
      <c r="M58" s="4"/>
      <c r="N58" s="4"/>
      <c r="O58" s="4"/>
    </row>
    <row r="59" spans="1:15" ht="12.75" x14ac:dyDescent="0.2">
      <c r="A59" s="2" t="s">
        <v>371</v>
      </c>
      <c r="B59" s="4"/>
      <c r="C59" s="4"/>
      <c r="D59" s="4"/>
      <c r="E59" s="4"/>
      <c r="F59" s="4"/>
      <c r="G59" s="4"/>
      <c r="H59" s="4"/>
      <c r="I59" s="4"/>
      <c r="J59" s="4"/>
      <c r="K59" s="4"/>
      <c r="L59" s="20"/>
      <c r="M59" s="4"/>
      <c r="N59" s="4"/>
      <c r="O59" s="4"/>
    </row>
    <row r="60" spans="1:15" ht="12.75" x14ac:dyDescent="0.2">
      <c r="A60" s="4"/>
      <c r="B60" s="4"/>
      <c r="C60" s="4"/>
      <c r="D60" s="4"/>
      <c r="E60" s="4"/>
      <c r="F60" s="4"/>
      <c r="G60" s="4"/>
      <c r="H60" s="4"/>
      <c r="I60" s="4"/>
      <c r="J60" s="4"/>
      <c r="K60" s="4"/>
      <c r="L60" s="20"/>
      <c r="M60" s="4"/>
      <c r="N60" s="4"/>
      <c r="O60" s="4"/>
    </row>
    <row r="61" spans="1:15" ht="12.75" x14ac:dyDescent="0.2">
      <c r="A61" s="5"/>
      <c r="B61" s="5"/>
      <c r="C61" s="11"/>
      <c r="D61" s="4"/>
      <c r="E61" s="4"/>
      <c r="F61" s="4"/>
      <c r="G61" s="4"/>
      <c r="H61" s="4"/>
      <c r="I61" s="4"/>
      <c r="J61" s="4"/>
      <c r="K61" s="4"/>
      <c r="L61" s="20"/>
      <c r="M61" s="4"/>
      <c r="N61" s="4"/>
      <c r="O61" s="4"/>
    </row>
    <row r="62" spans="1:15" ht="12.75" x14ac:dyDescent="0.2">
      <c r="A62" s="9" t="s">
        <v>373</v>
      </c>
      <c r="B62" s="12"/>
      <c r="C62" s="14">
        <f>Baseline!$C$3</f>
        <v>47550.272049316402</v>
      </c>
      <c r="D62" s="23"/>
      <c r="E62" s="23"/>
      <c r="F62" s="23"/>
      <c r="G62" s="23"/>
      <c r="H62" s="23"/>
      <c r="I62" s="23"/>
      <c r="J62" s="23"/>
      <c r="K62" s="23"/>
      <c r="L62" s="1"/>
      <c r="M62" s="23"/>
      <c r="N62" s="23"/>
      <c r="O62" s="23"/>
    </row>
    <row r="63" spans="1:15" ht="12.75" x14ac:dyDescent="0.2">
      <c r="A63" s="12"/>
      <c r="B63" s="12"/>
      <c r="C63" s="12"/>
      <c r="D63" s="32"/>
      <c r="E63" s="32"/>
      <c r="F63" s="32"/>
      <c r="G63" s="32"/>
      <c r="H63" s="32"/>
      <c r="I63" s="32"/>
      <c r="J63" s="32"/>
      <c r="K63" s="32"/>
      <c r="L63" s="1"/>
      <c r="M63" s="32"/>
      <c r="N63" s="32"/>
      <c r="O63" s="32"/>
    </row>
    <row r="64" spans="1:15" ht="12.75" x14ac:dyDescent="0.2">
      <c r="A64" s="14" t="str">
        <f>A7</f>
        <v>Phase 1 - Takeoff:</v>
      </c>
      <c r="B64" s="12"/>
      <c r="C64" s="21">
        <f>IF($C$8=0,C62,+C62*(1-$C$9/100))</f>
        <v>47217.420144971184</v>
      </c>
      <c r="D64" s="53"/>
      <c r="E64" s="53"/>
      <c r="F64" s="53"/>
      <c r="G64" s="53"/>
      <c r="H64" s="53"/>
      <c r="I64" s="53"/>
      <c r="J64" s="53"/>
      <c r="K64" s="53"/>
      <c r="L64" s="1"/>
      <c r="M64" s="53"/>
      <c r="N64" s="53"/>
      <c r="O64" s="53"/>
    </row>
    <row r="65" spans="1:15" ht="12.75" x14ac:dyDescent="0.2">
      <c r="A65" s="14" t="str">
        <f>A10</f>
        <v>Phase 2 - Climb &amp; Accel:</v>
      </c>
      <c r="B65" s="12"/>
      <c r="C65" s="21">
        <f>IF($C$11=0,C64,+C64/EXP((Propulsion!$C$11*$I$16)/(($I$10+$I$11)*3600/2*(1-1/($I$15*$I$14)))))</f>
        <v>46677.94106502131</v>
      </c>
      <c r="D65" s="53"/>
      <c r="E65" s="53"/>
      <c r="F65" s="53"/>
      <c r="G65" s="53"/>
      <c r="H65" s="53"/>
      <c r="I65" s="53"/>
      <c r="J65" s="53"/>
      <c r="K65" s="53"/>
      <c r="L65" s="1"/>
      <c r="M65" s="53"/>
      <c r="N65" s="53"/>
      <c r="O65" s="53"/>
    </row>
    <row r="66" spans="1:15" ht="12.75" x14ac:dyDescent="0.2">
      <c r="A66" s="14" t="str">
        <f>A16</f>
        <v>Phase 3 - Subsonic Cruise:</v>
      </c>
      <c r="B66" s="12"/>
      <c r="C66" s="21">
        <f>IF($C$17=0,C65,+C65/EXP(Propulsion!$C$12*$C$18*6080/($I$11*Aerodynamics!$I$12*3600)))</f>
        <v>23975.169752181318</v>
      </c>
      <c r="D66" s="53"/>
      <c r="E66" s="53"/>
      <c r="F66" s="53"/>
      <c r="G66" s="53"/>
      <c r="H66" s="53"/>
      <c r="I66" s="53"/>
      <c r="J66" s="53"/>
      <c r="K66" s="53"/>
      <c r="L66" s="1"/>
      <c r="M66" s="53"/>
      <c r="N66" s="53"/>
      <c r="O66" s="53"/>
    </row>
    <row r="67" spans="1:15" ht="12.75" x14ac:dyDescent="0.2">
      <c r="A67" s="14" t="str">
        <f>A19</f>
        <v>Phase 4 - Loiter (for ASW):</v>
      </c>
      <c r="B67" s="12"/>
      <c r="C67" s="21">
        <f>IF($C$20=0,C66,+C66/EXP(Propulsion!$C$13*$C$23/Aerodynamics!$I$11))</f>
        <v>23834.306991927086</v>
      </c>
      <c r="D67" s="53"/>
      <c r="E67" s="53"/>
      <c r="F67" s="53"/>
      <c r="G67" s="53"/>
      <c r="H67" s="53"/>
      <c r="I67" s="53"/>
      <c r="J67" s="53"/>
      <c r="K67" s="53"/>
      <c r="L67" s="1"/>
      <c r="M67" s="53"/>
      <c r="N67" s="53"/>
      <c r="O67" s="53"/>
    </row>
    <row r="68" spans="1:15" ht="12.75" x14ac:dyDescent="0.2">
      <c r="A68" s="14" t="str">
        <f>A24</f>
        <v>Phase 5 - Accel to Supercruise:</v>
      </c>
      <c r="B68" s="12"/>
      <c r="C68" s="21">
        <f>IF($C$25=0,C67,+C67/EXP((Propulsion!$C$14*$I$27)/(($I$11+$I$21)*3600/2*(1-1/($I$26*$I$22)))))</f>
        <v>23834.306991927086</v>
      </c>
      <c r="D68" s="53"/>
      <c r="E68" s="53"/>
      <c r="F68" s="53"/>
      <c r="G68" s="53"/>
      <c r="H68" s="53"/>
      <c r="I68" s="53"/>
      <c r="J68" s="53"/>
      <c r="K68" s="53"/>
      <c r="L68" s="1"/>
      <c r="M68" s="53"/>
      <c r="N68" s="53"/>
      <c r="O68" s="53"/>
    </row>
    <row r="69" spans="1:15" ht="12.75" x14ac:dyDescent="0.2">
      <c r="A69" s="14" t="str">
        <f>A28</f>
        <v>Phase 6 - Supersonic Penetration:</v>
      </c>
      <c r="B69" s="12"/>
      <c r="C69" s="21">
        <f>IF($C$29=0,C68,+C68/EXP(Propulsion!$C$14*$C$30*6080/($I$21*Aerodynamics!$I$14*3600)))</f>
        <v>23834.306991927086</v>
      </c>
      <c r="D69" s="53"/>
      <c r="E69" s="53"/>
      <c r="F69" s="53"/>
      <c r="G69" s="53"/>
      <c r="H69" s="53"/>
      <c r="I69" s="53"/>
      <c r="J69" s="53"/>
      <c r="K69" s="53"/>
      <c r="L69" s="1"/>
      <c r="M69" s="53"/>
      <c r="N69" s="53"/>
      <c r="O69" s="53"/>
    </row>
    <row r="70" spans="1:15" ht="12.75" x14ac:dyDescent="0.2">
      <c r="A70" s="14" t="str">
        <f>A31</f>
        <v>Phase 7 - Combat (final):</v>
      </c>
      <c r="B70" s="12"/>
      <c r="C70" s="21">
        <f>IF($C$32=0,C69,+C69*(1-Propulsion!$C$15/3600*$I$30*$I$35))</f>
        <v>23834.306991927086</v>
      </c>
      <c r="D70" s="53"/>
      <c r="E70" s="53"/>
      <c r="F70" s="53"/>
      <c r="G70" s="53"/>
      <c r="H70" s="53"/>
      <c r="I70" s="53"/>
      <c r="J70" s="53"/>
      <c r="K70" s="53"/>
      <c r="L70" s="1"/>
      <c r="M70" s="53"/>
      <c r="N70" s="53"/>
      <c r="O70" s="53"/>
    </row>
    <row r="71" spans="1:15" ht="12.75" x14ac:dyDescent="0.2">
      <c r="A71" s="14" t="str">
        <f>A36</f>
        <v>Phase 8 - Drop weapons:</v>
      </c>
      <c r="B71" s="12"/>
      <c r="C71" s="21">
        <f>IF($C$37=0,C70,+C70-$C$38)</f>
        <v>23834.306991927086</v>
      </c>
      <c r="D71" s="53"/>
      <c r="E71" s="53"/>
      <c r="F71" s="53"/>
      <c r="G71" s="53"/>
      <c r="H71" s="53"/>
      <c r="I71" s="53"/>
      <c r="J71" s="53"/>
      <c r="K71" s="53"/>
      <c r="L71" s="1"/>
      <c r="M71" s="53"/>
      <c r="N71" s="53"/>
      <c r="O71" s="53"/>
    </row>
    <row r="72" spans="1:15" ht="12.75" x14ac:dyDescent="0.2">
      <c r="A72" s="14" t="str">
        <f>A39</f>
        <v>Phase 9 - Climb &amp; Accel:</v>
      </c>
      <c r="B72" s="12"/>
      <c r="C72" s="21">
        <f>IF($C$40=0,C71,+C71/EXP((Propulsion!$C$14*$I$43)/(($I$31+$I$37)*3600/2*(1-1/($I$42*$I$38)))))</f>
        <v>23834.306991927086</v>
      </c>
      <c r="D72" s="53"/>
      <c r="E72" s="53"/>
      <c r="F72" s="53"/>
      <c r="G72" s="53"/>
      <c r="H72" s="53"/>
      <c r="I72" s="53"/>
      <c r="J72" s="53"/>
      <c r="K72" s="53"/>
      <c r="L72" s="1"/>
      <c r="M72" s="53"/>
      <c r="N72" s="53"/>
      <c r="O72" s="53"/>
    </row>
    <row r="73" spans="1:15" ht="12.75" x14ac:dyDescent="0.2">
      <c r="A73" s="14" t="str">
        <f>A43</f>
        <v>Phase 10 - Supercruise Return:</v>
      </c>
      <c r="B73" s="12"/>
      <c r="C73" s="21">
        <f>IF($C$44=0,C72,+C72/EXP(Propulsion!$C$14*$C$30*6080/($I$37*Aerodynamics!$I$14*3600)))</f>
        <v>23834.306991927086</v>
      </c>
      <c r="D73" s="53"/>
      <c r="E73" s="53"/>
      <c r="F73" s="53"/>
      <c r="G73" s="53"/>
      <c r="H73" s="53"/>
      <c r="I73" s="53"/>
      <c r="J73" s="53"/>
      <c r="K73" s="53"/>
      <c r="L73" s="1"/>
      <c r="M73" s="53"/>
      <c r="N73" s="53"/>
      <c r="O73" s="53"/>
    </row>
    <row r="74" spans="1:15" ht="12.75" x14ac:dyDescent="0.2">
      <c r="A74" s="14" t="str">
        <f>A45</f>
        <v>Phase 11 - Subsonic Cruise:</v>
      </c>
      <c r="B74" s="12"/>
      <c r="C74" s="21">
        <f>IF($C$46=0,C73,+C73/EXP(Propulsion!$C$12*$C$18*6080/($I$11*Aerodynamics!$I$12*3600)))</f>
        <v>23834.306991927086</v>
      </c>
      <c r="D74" s="53"/>
      <c r="E74" s="53"/>
      <c r="F74" s="53"/>
      <c r="G74" s="53"/>
      <c r="H74" s="53"/>
      <c r="I74" s="53"/>
      <c r="J74" s="53"/>
      <c r="K74" s="53"/>
      <c r="L74" s="1"/>
      <c r="M74" s="53"/>
      <c r="N74" s="53"/>
      <c r="O74" s="53"/>
    </row>
    <row r="75" spans="1:15" ht="12.75" x14ac:dyDescent="0.2">
      <c r="A75" s="14" t="str">
        <f>A49</f>
        <v>Phase 12 - Descent:</v>
      </c>
      <c r="B75" s="12"/>
      <c r="C75" s="21">
        <f>IF($C$50=0,C74,+C74*(1-$C$51/100))</f>
        <v>23715.135456967451</v>
      </c>
      <c r="D75" s="53"/>
      <c r="E75" s="53"/>
      <c r="F75" s="53"/>
      <c r="G75" s="53"/>
      <c r="H75" s="53"/>
      <c r="I75" s="53"/>
      <c r="J75" s="53"/>
      <c r="K75" s="53"/>
      <c r="L75" s="1"/>
      <c r="M75" s="53"/>
      <c r="N75" s="53"/>
      <c r="O75" s="53"/>
    </row>
    <row r="76" spans="1:15" ht="12.75" x14ac:dyDescent="0.2">
      <c r="A76" s="14" t="str">
        <f>A52</f>
        <v>Phase 13 - Land &amp; Taxi:</v>
      </c>
      <c r="B76" s="12"/>
      <c r="C76" s="21">
        <f>IF($C$53=0,C75,+C75*(1-$C$54/100))</f>
        <v>23240.832747828103</v>
      </c>
      <c r="D76" s="53"/>
      <c r="E76" s="53"/>
      <c r="F76" s="53"/>
      <c r="G76" s="53"/>
      <c r="H76" s="53"/>
      <c r="I76" s="53"/>
      <c r="J76" s="53"/>
      <c r="K76" s="53"/>
      <c r="L76" s="1"/>
      <c r="M76" s="53"/>
      <c r="N76" s="53"/>
      <c r="O76" s="53"/>
    </row>
    <row r="77" spans="1:15" ht="12.75" x14ac:dyDescent="0.2">
      <c r="A77" s="9" t="s">
        <v>374</v>
      </c>
      <c r="B77" s="12"/>
      <c r="C77" s="21">
        <f>C62-C76-$C$38</f>
        <v>23309.439301488299</v>
      </c>
      <c r="D77" s="53"/>
      <c r="E77" s="53"/>
      <c r="F77" s="53"/>
      <c r="G77" s="53"/>
      <c r="H77" s="53"/>
      <c r="I77" s="53"/>
      <c r="J77" s="53"/>
      <c r="K77" s="53"/>
      <c r="L77" s="1"/>
      <c r="M77" s="53"/>
      <c r="N77" s="53"/>
      <c r="O77" s="53"/>
    </row>
    <row r="78" spans="1:15" ht="12.75" x14ac:dyDescent="0.2">
      <c r="A78" s="9" t="s">
        <v>375</v>
      </c>
      <c r="B78" s="12"/>
      <c r="C78" s="21">
        <f>C77*(1+$C$56/100)</f>
        <v>26339.666410681777</v>
      </c>
      <c r="D78" s="53"/>
      <c r="E78" s="53"/>
      <c r="F78" s="53"/>
      <c r="G78" s="53"/>
      <c r="H78" s="53"/>
      <c r="I78" s="53"/>
      <c r="J78" s="53"/>
      <c r="K78" s="53"/>
      <c r="L78" s="1"/>
      <c r="M78" s="53"/>
      <c r="N78" s="53"/>
      <c r="O78" s="53"/>
    </row>
    <row r="79" spans="1:15" ht="12.75" x14ac:dyDescent="0.2">
      <c r="A79" s="9" t="s">
        <v>376</v>
      </c>
      <c r="B79" s="12"/>
      <c r="C79" s="21">
        <f>C62-C78-Baseline!$I$6</f>
        <v>19310.605638634624</v>
      </c>
      <c r="D79" s="53"/>
      <c r="E79" s="53"/>
      <c r="F79" s="53"/>
      <c r="G79" s="53"/>
      <c r="H79" s="53"/>
      <c r="I79" s="53"/>
      <c r="J79" s="53"/>
      <c r="K79" s="53"/>
      <c r="L79" s="1"/>
      <c r="M79" s="53"/>
      <c r="N79" s="53"/>
      <c r="O79" s="53"/>
    </row>
    <row r="80" spans="1:15" ht="12.75" x14ac:dyDescent="0.2">
      <c r="A80" s="32"/>
      <c r="B80" s="32"/>
      <c r="C80" s="32"/>
      <c r="D80" s="32"/>
      <c r="E80" s="32"/>
      <c r="F80" s="32"/>
      <c r="G80" s="32"/>
      <c r="H80" s="32"/>
      <c r="I80" s="32"/>
      <c r="J80" s="32"/>
      <c r="K80" s="32"/>
      <c r="L80" s="1"/>
      <c r="M80" s="32"/>
      <c r="N80" s="32"/>
      <c r="O80" s="32"/>
    </row>
  </sheetData>
  <mergeCells count="22">
    <mergeCell ref="E25:G25"/>
    <mergeCell ref="E24:G24"/>
    <mergeCell ref="E23:G23"/>
    <mergeCell ref="E22:G22"/>
    <mergeCell ref="E10:G10"/>
    <mergeCell ref="E11:G11"/>
    <mergeCell ref="E13:G13"/>
    <mergeCell ref="E14:G14"/>
    <mergeCell ref="E15:G15"/>
    <mergeCell ref="E16:G16"/>
    <mergeCell ref="E26:G26"/>
    <mergeCell ref="E43:G43"/>
    <mergeCell ref="E42:G42"/>
    <mergeCell ref="E41:G41"/>
    <mergeCell ref="E38:G38"/>
    <mergeCell ref="E35:G35"/>
    <mergeCell ref="E34:G34"/>
    <mergeCell ref="E33:G33"/>
    <mergeCell ref="E32:G32"/>
    <mergeCell ref="E30:G30"/>
    <mergeCell ref="E29:G29"/>
    <mergeCell ref="E27:G2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7"/>
  <sheetViews>
    <sheetView workbookViewId="0">
      <selection activeCell="K12" sqref="K12"/>
    </sheetView>
  </sheetViews>
  <sheetFormatPr defaultRowHeight="12" x14ac:dyDescent="0.15"/>
  <cols>
    <col min="1" max="1" width="27.25" customWidth="1"/>
    <col min="4" max="4" width="3.375" customWidth="1"/>
    <col min="8" max="8" width="10.875" customWidth="1"/>
    <col min="10" max="10" width="3.375" customWidth="1"/>
    <col min="16" max="16" width="2.375" customWidth="1"/>
    <col min="22" max="22" width="2.125" customWidth="1"/>
  </cols>
  <sheetData>
    <row r="1" spans="1:28" ht="12.75" x14ac:dyDescent="0.2">
      <c r="A1" s="2" t="s">
        <v>18</v>
      </c>
      <c r="B1" s="4"/>
      <c r="C1" s="4"/>
      <c r="D1" s="4"/>
      <c r="E1" s="4"/>
      <c r="F1" s="4"/>
      <c r="G1" s="4"/>
      <c r="H1" s="4"/>
      <c r="I1" s="4"/>
      <c r="J1" s="4"/>
      <c r="K1" s="4"/>
      <c r="L1" s="4"/>
      <c r="M1" s="4"/>
      <c r="N1" s="4"/>
    </row>
    <row r="2" spans="1:28" ht="12.75" x14ac:dyDescent="0.2">
      <c r="A2" s="4"/>
      <c r="B2" s="4"/>
      <c r="C2" s="4"/>
      <c r="D2" s="4"/>
      <c r="E2" s="4"/>
      <c r="F2" s="4"/>
      <c r="G2" s="4"/>
      <c r="H2" s="4"/>
      <c r="I2" s="4"/>
      <c r="J2" s="4"/>
      <c r="K2" s="4"/>
      <c r="L2" s="4"/>
      <c r="M2" s="4"/>
      <c r="N2" s="4"/>
      <c r="O2" s="4"/>
      <c r="P2" s="7" t="s">
        <v>19</v>
      </c>
      <c r="Q2" s="5" t="s">
        <v>19</v>
      </c>
      <c r="R2" s="4"/>
    </row>
    <row r="3" spans="1:28" ht="12.75" x14ac:dyDescent="0.2">
      <c r="A3" s="9" t="s">
        <v>20</v>
      </c>
      <c r="B3" s="9" t="s">
        <v>21</v>
      </c>
      <c r="C3" s="64">
        <v>47550.272049316402</v>
      </c>
      <c r="D3" s="4"/>
      <c r="E3" s="111" t="str">
        <f>'Wt &amp; Balance'!A125</f>
        <v>We(reqd) - We(avail)</v>
      </c>
      <c r="F3" s="111"/>
      <c r="G3" s="111"/>
      <c r="H3" s="12" t="s">
        <v>770</v>
      </c>
      <c r="I3" s="54">
        <f>'Wt &amp; Balance'!C125</f>
        <v>21208.157507517841</v>
      </c>
      <c r="J3" s="4"/>
      <c r="K3" s="4"/>
      <c r="L3" s="4"/>
      <c r="M3" s="4"/>
      <c r="N3" s="4"/>
      <c r="O3" s="4"/>
      <c r="P3" s="4"/>
      <c r="Q3" s="4"/>
      <c r="R3" s="4"/>
    </row>
    <row r="4" spans="1:28" ht="12.75" x14ac:dyDescent="0.2">
      <c r="A4" s="9" t="s">
        <v>22</v>
      </c>
      <c r="B4" s="9" t="s">
        <v>23</v>
      </c>
      <c r="C4" s="10">
        <v>250</v>
      </c>
      <c r="D4" s="4"/>
      <c r="J4" s="4"/>
      <c r="K4" s="4"/>
      <c r="L4" s="4"/>
      <c r="M4" s="4"/>
      <c r="N4" s="4"/>
      <c r="O4" s="4"/>
      <c r="P4" s="4"/>
      <c r="Q4" s="4"/>
      <c r="R4" s="4"/>
    </row>
    <row r="5" spans="1:28" ht="12.75" x14ac:dyDescent="0.2">
      <c r="A5" s="9" t="s">
        <v>26</v>
      </c>
      <c r="B5" s="9" t="s">
        <v>27</v>
      </c>
      <c r="C5" s="10">
        <v>0</v>
      </c>
      <c r="D5" s="4"/>
      <c r="E5" s="4"/>
      <c r="F5" s="4"/>
      <c r="G5" s="4"/>
      <c r="H5" s="4"/>
      <c r="I5" s="4"/>
      <c r="J5" s="4"/>
      <c r="K5" s="4"/>
      <c r="L5" s="4"/>
      <c r="M5" s="4"/>
      <c r="N5" s="4"/>
      <c r="O5" s="4"/>
      <c r="P5" s="4"/>
      <c r="Q5" s="4"/>
      <c r="R5" s="4"/>
    </row>
    <row r="6" spans="1:28" ht="12.75" x14ac:dyDescent="0.2">
      <c r="A6" s="9" t="s">
        <v>28</v>
      </c>
      <c r="B6" s="9" t="s">
        <v>29</v>
      </c>
      <c r="C6" s="10">
        <v>1900</v>
      </c>
      <c r="D6" s="4"/>
      <c r="E6" s="9" t="s">
        <v>24</v>
      </c>
      <c r="F6" s="12"/>
      <c r="G6" s="12"/>
      <c r="H6" s="9" t="s">
        <v>25</v>
      </c>
      <c r="I6" s="14">
        <f>C6+C5</f>
        <v>1900</v>
      </c>
      <c r="J6" s="4"/>
      <c r="K6" s="4"/>
      <c r="L6" s="4"/>
      <c r="M6" s="4"/>
      <c r="N6" s="4"/>
      <c r="O6" s="4"/>
      <c r="P6" s="4"/>
      <c r="Q6" s="4"/>
      <c r="R6" s="4"/>
    </row>
    <row r="7" spans="1:28" ht="14.25" x14ac:dyDescent="0.25">
      <c r="A7" s="9" t="s">
        <v>732</v>
      </c>
      <c r="B7" s="9" t="s">
        <v>30</v>
      </c>
      <c r="C7" s="10">
        <v>1.1000000000000001</v>
      </c>
      <c r="D7" s="4"/>
      <c r="E7" s="4"/>
      <c r="F7" s="4"/>
      <c r="G7" s="4"/>
      <c r="H7" s="4"/>
      <c r="I7" s="4"/>
      <c r="J7" s="4"/>
      <c r="K7" s="4"/>
      <c r="L7" s="4"/>
      <c r="M7" s="4"/>
      <c r="N7" s="4"/>
      <c r="O7" s="4"/>
      <c r="P7" s="4"/>
      <c r="Q7" s="4"/>
      <c r="R7" s="4"/>
    </row>
    <row r="8" spans="1:28" ht="12.75" x14ac:dyDescent="0.2">
      <c r="A8" s="9" t="s">
        <v>728</v>
      </c>
      <c r="B8" s="9" t="s">
        <v>31</v>
      </c>
      <c r="C8" s="10">
        <v>60</v>
      </c>
      <c r="D8" s="4"/>
      <c r="E8" s="4"/>
      <c r="F8" s="4"/>
      <c r="G8" s="4"/>
      <c r="H8" s="4"/>
      <c r="I8" s="4"/>
      <c r="J8" s="4"/>
      <c r="K8" s="4"/>
      <c r="L8" s="4"/>
      <c r="M8" s="4"/>
      <c r="N8" s="4"/>
      <c r="O8" s="4"/>
      <c r="P8" s="4"/>
      <c r="Q8" s="4"/>
      <c r="R8" s="4"/>
    </row>
    <row r="9" spans="1:28" ht="12.75" x14ac:dyDescent="0.2">
      <c r="A9" s="9" t="s">
        <v>32</v>
      </c>
      <c r="B9" s="12"/>
      <c r="C9" s="13"/>
      <c r="D9" s="4"/>
      <c r="E9" s="4"/>
      <c r="F9" s="4"/>
      <c r="G9" s="4"/>
      <c r="H9" s="4"/>
      <c r="I9" s="4"/>
      <c r="J9" s="4"/>
      <c r="K9" s="4"/>
      <c r="L9" s="4"/>
      <c r="M9" s="4"/>
      <c r="N9" s="4"/>
      <c r="O9" s="4"/>
      <c r="P9" s="4"/>
      <c r="Q9" s="4"/>
      <c r="R9" s="4"/>
    </row>
    <row r="10" spans="1:28" ht="12.75" x14ac:dyDescent="0.2">
      <c r="A10" s="9" t="s">
        <v>33</v>
      </c>
      <c r="B10" s="9" t="s">
        <v>34</v>
      </c>
      <c r="C10" s="10">
        <v>4.5</v>
      </c>
      <c r="D10" s="4"/>
      <c r="E10" s="4"/>
      <c r="F10" s="4"/>
      <c r="G10" s="4"/>
      <c r="H10" s="4"/>
      <c r="I10" s="4"/>
      <c r="J10" s="4"/>
      <c r="K10" s="4"/>
      <c r="L10" s="4"/>
      <c r="M10" s="4"/>
      <c r="N10" s="4"/>
      <c r="O10" s="4"/>
      <c r="P10" s="4"/>
      <c r="Q10" s="4"/>
      <c r="R10" s="4"/>
    </row>
    <row r="11" spans="1:28" ht="12.75" x14ac:dyDescent="0.2">
      <c r="A11" s="9" t="s">
        <v>35</v>
      </c>
      <c r="B11" s="9" t="s">
        <v>36</v>
      </c>
      <c r="C11" s="10">
        <v>0.9</v>
      </c>
      <c r="D11" s="4"/>
      <c r="E11" s="108" t="s">
        <v>37</v>
      </c>
      <c r="F11" s="109"/>
      <c r="G11" s="110"/>
      <c r="H11" s="9" t="s">
        <v>38</v>
      </c>
      <c r="I11" s="14">
        <f>0.7*Atmosphere!E10*144*C11^2</f>
        <v>1199.8853999999999</v>
      </c>
      <c r="J11" s="4"/>
      <c r="K11" s="4"/>
      <c r="L11" s="4"/>
      <c r="M11" s="4"/>
      <c r="N11" s="4"/>
      <c r="O11" s="4"/>
      <c r="P11" s="4"/>
      <c r="Q11" s="4"/>
      <c r="R11" s="4"/>
    </row>
    <row r="12" spans="1:28" ht="12.75" x14ac:dyDescent="0.2">
      <c r="A12" s="4"/>
      <c r="B12" s="4"/>
      <c r="C12" s="4"/>
      <c r="D12" s="4"/>
      <c r="E12" s="4"/>
      <c r="F12" s="4"/>
      <c r="G12" s="4"/>
      <c r="H12" s="4"/>
      <c r="I12" s="4"/>
      <c r="J12" s="4"/>
      <c r="K12" s="4"/>
      <c r="L12" s="4"/>
      <c r="M12" s="4"/>
      <c r="N12" s="4"/>
      <c r="O12" s="4"/>
      <c r="P12" s="4"/>
      <c r="Q12" s="4"/>
      <c r="R12" s="4"/>
    </row>
    <row r="13" spans="1:28" ht="12.75" x14ac:dyDescent="0.2">
      <c r="A13" s="5" t="s">
        <v>39</v>
      </c>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12.75" x14ac:dyDescent="0.2">
      <c r="A14" s="5" t="s">
        <v>40</v>
      </c>
      <c r="B14" s="4"/>
      <c r="C14" s="4"/>
      <c r="D14" s="4"/>
      <c r="E14" s="4"/>
      <c r="F14" s="4"/>
      <c r="G14" s="4"/>
      <c r="H14" s="4"/>
      <c r="I14" s="4"/>
      <c r="J14" s="4"/>
      <c r="K14" s="4"/>
      <c r="L14" s="4"/>
      <c r="M14" s="4"/>
      <c r="N14" s="4"/>
      <c r="O14" s="4"/>
      <c r="P14" s="4"/>
      <c r="Q14" s="4"/>
      <c r="R14" s="4"/>
      <c r="S14" s="4"/>
      <c r="T14" s="4"/>
      <c r="U14" s="4"/>
      <c r="V14" s="4"/>
      <c r="W14" s="4"/>
      <c r="X14" s="4"/>
      <c r="Y14" s="4"/>
      <c r="Z14" s="4"/>
      <c r="AA14" s="4"/>
      <c r="AB14" s="4"/>
    </row>
    <row r="15" spans="1:28" ht="14.25" x14ac:dyDescent="0.25">
      <c r="A15" s="5" t="s">
        <v>705</v>
      </c>
      <c r="B15" s="4"/>
      <c r="C15" s="4"/>
      <c r="D15" s="4"/>
      <c r="E15" s="4"/>
      <c r="F15" s="4"/>
      <c r="G15" s="4"/>
      <c r="H15" s="3"/>
      <c r="I15" s="4"/>
      <c r="J15" s="4"/>
      <c r="K15" s="4"/>
      <c r="L15" s="4"/>
      <c r="M15" s="4"/>
      <c r="N15" s="4"/>
      <c r="O15" s="4"/>
      <c r="P15" s="4"/>
      <c r="Q15" s="4"/>
      <c r="R15" s="4"/>
      <c r="S15" s="4"/>
      <c r="T15" s="4"/>
      <c r="U15" s="4"/>
      <c r="V15" s="4"/>
      <c r="W15" s="4"/>
      <c r="X15" s="4"/>
      <c r="Y15" s="4"/>
      <c r="Z15" s="4"/>
      <c r="AA15" s="4"/>
      <c r="AB15" s="4"/>
    </row>
    <row r="16" spans="1:28" ht="12.75" x14ac:dyDescent="0.2">
      <c r="A16" s="5" t="s">
        <v>41</v>
      </c>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12.75"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row>
    <row r="18" spans="1:28" ht="12.75" x14ac:dyDescent="0.2">
      <c r="A18" s="2" t="s">
        <v>42</v>
      </c>
      <c r="B18" s="4"/>
      <c r="C18" s="4"/>
      <c r="D18" s="4"/>
      <c r="E18" s="2" t="s">
        <v>43</v>
      </c>
      <c r="F18" s="3"/>
      <c r="G18" s="4"/>
      <c r="H18" s="4"/>
      <c r="I18" s="4"/>
      <c r="J18" s="4"/>
      <c r="K18" s="2" t="s">
        <v>44</v>
      </c>
      <c r="L18" s="3"/>
      <c r="M18" s="4"/>
      <c r="N18" s="4"/>
      <c r="O18" s="4"/>
      <c r="P18" s="4"/>
      <c r="Q18" s="2" t="s">
        <v>45</v>
      </c>
      <c r="R18" s="4"/>
      <c r="S18" s="4"/>
      <c r="T18" s="4"/>
      <c r="U18" s="4"/>
      <c r="V18" s="4"/>
      <c r="W18" s="2" t="s">
        <v>46</v>
      </c>
      <c r="X18" s="4"/>
      <c r="Y18" s="4"/>
      <c r="Z18" s="4"/>
      <c r="AA18" s="4"/>
      <c r="AB18" s="4"/>
    </row>
    <row r="19" spans="1:28" ht="12.75"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row>
    <row r="20" spans="1:28" ht="12.75" x14ac:dyDescent="0.2">
      <c r="A20" s="9" t="s">
        <v>47</v>
      </c>
      <c r="B20" s="9" t="s">
        <v>48</v>
      </c>
      <c r="C20" s="49">
        <v>2</v>
      </c>
      <c r="D20" s="4"/>
      <c r="E20" s="65" t="s">
        <v>49</v>
      </c>
      <c r="F20" s="66"/>
      <c r="G20" s="67"/>
      <c r="H20" s="9" t="s">
        <v>50</v>
      </c>
      <c r="I20" s="49">
        <v>0.80089999999999995</v>
      </c>
      <c r="J20" s="4"/>
      <c r="K20" s="9" t="s">
        <v>49</v>
      </c>
      <c r="L20" s="72"/>
      <c r="M20" s="73"/>
      <c r="N20" s="9" t="s">
        <v>51</v>
      </c>
      <c r="O20" s="49">
        <v>9.0999999999999998E-2</v>
      </c>
      <c r="P20" s="4"/>
      <c r="Q20" s="108" t="s">
        <v>52</v>
      </c>
      <c r="R20" s="109"/>
      <c r="S20" s="110"/>
      <c r="T20" s="9" t="s">
        <v>53</v>
      </c>
      <c r="U20" s="49">
        <v>60</v>
      </c>
      <c r="V20" s="4"/>
      <c r="W20" s="108" t="s">
        <v>54</v>
      </c>
      <c r="X20" s="109"/>
      <c r="Y20" s="110"/>
      <c r="Z20" s="9" t="s">
        <v>55</v>
      </c>
      <c r="AA20" s="49">
        <v>2</v>
      </c>
      <c r="AB20" s="4"/>
    </row>
    <row r="21" spans="1:28" ht="12.75" x14ac:dyDescent="0.2">
      <c r="A21" s="9" t="s">
        <v>730</v>
      </c>
      <c r="B21" s="9" t="s">
        <v>57</v>
      </c>
      <c r="C21" s="49">
        <v>0.4</v>
      </c>
      <c r="D21" s="4"/>
      <c r="E21" s="9" t="s">
        <v>58</v>
      </c>
      <c r="F21" s="68"/>
      <c r="G21" s="68"/>
      <c r="H21" s="12"/>
      <c r="I21" s="50"/>
      <c r="J21" s="4"/>
      <c r="K21" s="9" t="s">
        <v>58</v>
      </c>
      <c r="L21" s="12"/>
      <c r="M21" s="12"/>
      <c r="N21" s="12"/>
      <c r="O21" s="50"/>
      <c r="P21" s="4"/>
      <c r="Q21" s="108" t="s">
        <v>59</v>
      </c>
      <c r="R21" s="109"/>
      <c r="S21" s="110"/>
      <c r="T21" s="9" t="s">
        <v>60</v>
      </c>
      <c r="U21" s="49">
        <v>6</v>
      </c>
      <c r="V21" s="4"/>
      <c r="W21" s="9" t="s">
        <v>61</v>
      </c>
      <c r="X21" s="74"/>
      <c r="Y21" s="74"/>
      <c r="Z21" s="9" t="s">
        <v>62</v>
      </c>
      <c r="AA21" s="49">
        <v>2000</v>
      </c>
      <c r="AB21" s="4"/>
    </row>
    <row r="22" spans="1:28" ht="12.75" x14ac:dyDescent="0.2">
      <c r="A22" s="9" t="s">
        <v>729</v>
      </c>
      <c r="B22" s="9" t="s">
        <v>63</v>
      </c>
      <c r="C22" s="49">
        <v>3.5000000000000003E-2</v>
      </c>
      <c r="D22" s="4"/>
      <c r="E22" s="108" t="s">
        <v>47</v>
      </c>
      <c r="F22" s="109"/>
      <c r="G22" s="110"/>
      <c r="H22" s="9" t="s">
        <v>64</v>
      </c>
      <c r="I22" s="49">
        <v>4</v>
      </c>
      <c r="J22" s="4"/>
      <c r="K22" s="108" t="s">
        <v>47</v>
      </c>
      <c r="L22" s="109"/>
      <c r="M22" s="110"/>
      <c r="N22" s="9" t="s">
        <v>65</v>
      </c>
      <c r="O22" s="49">
        <v>1.32</v>
      </c>
      <c r="P22" s="4"/>
      <c r="Q22" s="9" t="s">
        <v>66</v>
      </c>
      <c r="R22" s="74"/>
      <c r="S22" s="74"/>
      <c r="T22" s="9" t="s">
        <v>67</v>
      </c>
      <c r="U22" s="49">
        <v>8.83</v>
      </c>
      <c r="V22" s="4"/>
      <c r="W22" s="9" t="s">
        <v>68</v>
      </c>
      <c r="X22" s="74"/>
      <c r="Y22" s="74"/>
      <c r="Z22" s="9" t="s">
        <v>69</v>
      </c>
      <c r="AA22" s="49">
        <v>4.82</v>
      </c>
      <c r="AB22" s="4"/>
    </row>
    <row r="23" spans="1:28" ht="14.25" x14ac:dyDescent="0.25">
      <c r="A23" s="9" t="s">
        <v>731</v>
      </c>
      <c r="B23" s="9" t="s">
        <v>70</v>
      </c>
      <c r="C23" s="49">
        <v>60</v>
      </c>
      <c r="D23" s="4"/>
      <c r="E23" s="108" t="s">
        <v>71</v>
      </c>
      <c r="F23" s="109"/>
      <c r="G23" s="110"/>
      <c r="H23" s="9" t="s">
        <v>72</v>
      </c>
      <c r="I23" s="49">
        <v>0.1</v>
      </c>
      <c r="J23" s="4"/>
      <c r="K23" s="108" t="s">
        <v>71</v>
      </c>
      <c r="L23" s="109"/>
      <c r="M23" s="110"/>
      <c r="N23" s="9" t="s">
        <v>73</v>
      </c>
      <c r="O23" s="49">
        <v>0.1</v>
      </c>
      <c r="P23" s="4"/>
      <c r="Q23" s="108" t="s">
        <v>74</v>
      </c>
      <c r="R23" s="109"/>
      <c r="S23" s="110"/>
      <c r="T23" s="9" t="s">
        <v>75</v>
      </c>
      <c r="U23" s="49">
        <v>11.5</v>
      </c>
      <c r="V23" s="4"/>
      <c r="W23" s="108" t="s">
        <v>76</v>
      </c>
      <c r="X23" s="109"/>
      <c r="Y23" s="110"/>
      <c r="Z23" s="9" t="s">
        <v>77</v>
      </c>
      <c r="AA23" s="49">
        <v>56</v>
      </c>
      <c r="AB23" s="4"/>
    </row>
    <row r="24" spans="1:28" ht="12.75" x14ac:dyDescent="0.2">
      <c r="A24" s="9" t="s">
        <v>78</v>
      </c>
      <c r="B24" s="9" t="s">
        <v>79</v>
      </c>
      <c r="C24" s="49">
        <v>0.35</v>
      </c>
      <c r="D24" s="4"/>
      <c r="E24" s="108" t="s">
        <v>56</v>
      </c>
      <c r="F24" s="109"/>
      <c r="G24" s="110"/>
      <c r="H24" s="9" t="s">
        <v>80</v>
      </c>
      <c r="I24" s="49">
        <v>0.315</v>
      </c>
      <c r="J24" s="4"/>
      <c r="K24" s="108" t="s">
        <v>56</v>
      </c>
      <c r="L24" s="109"/>
      <c r="M24" s="110"/>
      <c r="N24" s="9" t="s">
        <v>81</v>
      </c>
      <c r="O24" s="49">
        <v>0.42</v>
      </c>
      <c r="P24" s="11"/>
      <c r="Q24" s="9" t="s">
        <v>82</v>
      </c>
      <c r="R24" s="74"/>
      <c r="S24" s="74"/>
      <c r="T24" s="9" t="s">
        <v>83</v>
      </c>
      <c r="U24" s="49">
        <v>25.8</v>
      </c>
      <c r="V24" s="4"/>
      <c r="W24" s="9" t="s">
        <v>84</v>
      </c>
      <c r="X24" s="74"/>
      <c r="Y24" s="74"/>
      <c r="Z24" s="12"/>
      <c r="AA24" s="50"/>
      <c r="AB24" s="4"/>
    </row>
    <row r="25" spans="1:28" ht="12.75" x14ac:dyDescent="0.2">
      <c r="A25" s="9" t="s">
        <v>85</v>
      </c>
      <c r="B25" s="9" t="s">
        <v>86</v>
      </c>
      <c r="C25" s="49">
        <v>1.2</v>
      </c>
      <c r="D25" s="4"/>
      <c r="E25" s="108" t="s">
        <v>87</v>
      </c>
      <c r="F25" s="109"/>
      <c r="G25" s="110"/>
      <c r="H25" s="9" t="s">
        <v>88</v>
      </c>
      <c r="I25" s="51" t="s">
        <v>89</v>
      </c>
      <c r="J25" s="4"/>
      <c r="K25" s="9" t="s">
        <v>90</v>
      </c>
      <c r="L25" s="68"/>
      <c r="M25" s="68"/>
      <c r="N25" s="9" t="s">
        <v>91</v>
      </c>
      <c r="O25" s="49">
        <v>42</v>
      </c>
      <c r="P25" s="4"/>
      <c r="Q25" s="9" t="s">
        <v>92</v>
      </c>
      <c r="R25" s="74"/>
      <c r="S25" s="74"/>
      <c r="T25" s="9" t="s">
        <v>93</v>
      </c>
      <c r="U25" s="49">
        <v>0</v>
      </c>
      <c r="V25" s="4"/>
      <c r="W25" s="4"/>
      <c r="X25" s="4"/>
      <c r="Y25" s="4"/>
      <c r="Z25" s="4"/>
      <c r="AA25" s="4"/>
      <c r="AB25" s="4"/>
    </row>
    <row r="26" spans="1:28" ht="12.75" x14ac:dyDescent="0.2">
      <c r="A26" s="9" t="s">
        <v>94</v>
      </c>
      <c r="B26" s="12"/>
      <c r="C26" s="50"/>
      <c r="D26" s="4"/>
      <c r="E26" s="69" t="s">
        <v>95</v>
      </c>
      <c r="F26" s="70"/>
      <c r="G26" s="71"/>
      <c r="H26" s="9" t="s">
        <v>96</v>
      </c>
      <c r="I26" s="49">
        <v>28</v>
      </c>
      <c r="J26" s="4"/>
      <c r="K26" s="108" t="s">
        <v>97</v>
      </c>
      <c r="L26" s="109"/>
      <c r="M26" s="110"/>
      <c r="N26" s="9" t="s">
        <v>98</v>
      </c>
      <c r="O26" s="49">
        <v>25.34</v>
      </c>
      <c r="P26" s="4"/>
      <c r="Q26" s="9" t="s">
        <v>99</v>
      </c>
      <c r="R26" s="74"/>
      <c r="S26" s="74"/>
      <c r="T26" s="9" t="s">
        <v>100</v>
      </c>
      <c r="U26" s="51" t="s">
        <v>101</v>
      </c>
      <c r="V26" s="4"/>
      <c r="W26" s="4"/>
      <c r="X26" s="4"/>
      <c r="Y26" s="4"/>
      <c r="Z26" s="4"/>
      <c r="AA26" s="4"/>
      <c r="AB26" s="4"/>
    </row>
    <row r="27" spans="1:28" ht="12.75" x14ac:dyDescent="0.2">
      <c r="A27" s="9" t="s">
        <v>102</v>
      </c>
      <c r="B27" s="9" t="s">
        <v>103</v>
      </c>
      <c r="C27" s="51" t="s">
        <v>101</v>
      </c>
      <c r="D27" s="4"/>
      <c r="E27" s="108" t="s">
        <v>97</v>
      </c>
      <c r="F27" s="109"/>
      <c r="G27" s="110"/>
      <c r="H27" s="9" t="s">
        <v>104</v>
      </c>
      <c r="I27" s="49">
        <v>30</v>
      </c>
      <c r="J27" s="4"/>
      <c r="K27" s="108" t="s">
        <v>105</v>
      </c>
      <c r="L27" s="109"/>
      <c r="M27" s="110"/>
      <c r="N27" s="9" t="s">
        <v>106</v>
      </c>
      <c r="O27" s="49">
        <v>1</v>
      </c>
      <c r="P27" s="4"/>
      <c r="Q27" s="9" t="s">
        <v>107</v>
      </c>
      <c r="R27" s="74"/>
      <c r="S27" s="74"/>
      <c r="T27" s="9" t="s">
        <v>108</v>
      </c>
      <c r="U27" s="51" t="s">
        <v>89</v>
      </c>
      <c r="V27" s="4"/>
      <c r="W27" s="4"/>
      <c r="X27" s="4"/>
      <c r="Y27" s="4"/>
      <c r="Z27" s="4"/>
      <c r="AA27" s="4"/>
      <c r="AB27" s="4"/>
    </row>
    <row r="28" spans="1:28" ht="12.75" x14ac:dyDescent="0.2">
      <c r="A28" s="4"/>
      <c r="B28" s="4"/>
      <c r="C28" s="4"/>
      <c r="D28" s="4"/>
      <c r="E28" s="4"/>
      <c r="F28" s="4"/>
      <c r="G28" s="4"/>
      <c r="H28" s="4"/>
      <c r="I28" s="4"/>
      <c r="J28" s="4"/>
      <c r="K28" s="9" t="s">
        <v>109</v>
      </c>
      <c r="L28" s="76"/>
      <c r="M28" s="76"/>
      <c r="N28" s="12"/>
      <c r="O28" s="50"/>
      <c r="P28" s="4"/>
      <c r="Q28" s="108" t="s">
        <v>110</v>
      </c>
      <c r="R28" s="109"/>
      <c r="S28" s="110"/>
      <c r="T28" s="9" t="s">
        <v>111</v>
      </c>
      <c r="U28" s="51" t="s">
        <v>101</v>
      </c>
      <c r="V28" s="4"/>
      <c r="W28" s="4"/>
      <c r="X28" s="4"/>
      <c r="Y28" s="4"/>
      <c r="Z28" s="4"/>
      <c r="AA28" s="4"/>
      <c r="AB28" s="4"/>
    </row>
    <row r="29" spans="1:28" ht="12.75" x14ac:dyDescent="0.2">
      <c r="A29" s="4"/>
      <c r="B29" s="4"/>
      <c r="C29" s="4"/>
      <c r="D29" s="4"/>
      <c r="E29" s="4"/>
      <c r="F29" s="4"/>
      <c r="G29" s="4"/>
      <c r="H29" s="4"/>
      <c r="I29" s="4"/>
      <c r="J29" s="4"/>
      <c r="K29" s="65" t="s">
        <v>112</v>
      </c>
      <c r="L29" s="66"/>
      <c r="M29" s="67"/>
      <c r="N29" s="12"/>
      <c r="O29" s="50"/>
      <c r="P29" s="4"/>
      <c r="Q29" s="108" t="s">
        <v>113</v>
      </c>
      <c r="R29" s="109"/>
      <c r="S29" s="110"/>
      <c r="T29" s="9" t="s">
        <v>114</v>
      </c>
      <c r="U29" s="51" t="s">
        <v>101</v>
      </c>
      <c r="V29" s="4"/>
      <c r="W29" s="4"/>
      <c r="X29" s="4"/>
      <c r="Y29" s="4"/>
      <c r="Z29" s="4"/>
      <c r="AA29" s="4"/>
      <c r="AB29" s="4"/>
    </row>
    <row r="30" spans="1:28" ht="12.75"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ht="12.75" x14ac:dyDescent="0.2">
      <c r="A31" s="5" t="s">
        <v>115</v>
      </c>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14.25" x14ac:dyDescent="0.25">
      <c r="A32" s="5" t="s">
        <v>737</v>
      </c>
      <c r="B32" s="4"/>
      <c r="C32" s="4"/>
      <c r="D32" s="4"/>
      <c r="E32" s="4"/>
      <c r="F32" s="4"/>
      <c r="G32" s="4"/>
      <c r="H32" s="4"/>
      <c r="I32" s="4"/>
      <c r="J32" s="4"/>
      <c r="K32" s="4"/>
      <c r="L32" s="4"/>
      <c r="M32" s="4"/>
      <c r="N32" s="4"/>
      <c r="O32" s="4"/>
      <c r="P32" s="4"/>
      <c r="Q32" s="4"/>
      <c r="R32" s="4"/>
      <c r="S32" s="4"/>
      <c r="T32" s="4"/>
      <c r="U32" s="4"/>
      <c r="V32" s="4"/>
      <c r="W32" s="4"/>
      <c r="X32" s="4"/>
      <c r="Y32" s="4"/>
      <c r="Z32" s="4"/>
      <c r="AA32" s="4"/>
      <c r="AB32" s="4"/>
    </row>
    <row r="33" spans="1:28" ht="12.75"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2.75" x14ac:dyDescent="0.2">
      <c r="A34" s="2" t="s">
        <v>116</v>
      </c>
      <c r="B34" s="4"/>
      <c r="C34" s="4"/>
      <c r="D34" s="4"/>
      <c r="E34" s="2" t="s">
        <v>116</v>
      </c>
      <c r="F34" s="3"/>
      <c r="G34" s="4"/>
      <c r="H34" s="4"/>
      <c r="I34" s="4"/>
      <c r="J34" s="4"/>
      <c r="K34" s="2" t="s">
        <v>116</v>
      </c>
      <c r="L34" s="3"/>
      <c r="M34" s="4"/>
      <c r="N34" s="4"/>
      <c r="O34" s="4"/>
      <c r="P34" s="4"/>
      <c r="Q34" s="2" t="s">
        <v>116</v>
      </c>
      <c r="R34" s="3"/>
      <c r="S34" s="4"/>
      <c r="T34" s="4"/>
      <c r="U34" s="4"/>
      <c r="V34" s="4"/>
      <c r="W34" s="2" t="s">
        <v>116</v>
      </c>
      <c r="X34" s="3"/>
      <c r="Y34" s="4"/>
      <c r="Z34" s="4"/>
      <c r="AA34" s="4"/>
      <c r="AB34" s="4"/>
    </row>
    <row r="35" spans="1:28" ht="12.75" x14ac:dyDescent="0.2">
      <c r="A35" s="9" t="s">
        <v>117</v>
      </c>
      <c r="B35" s="9" t="s">
        <v>118</v>
      </c>
      <c r="C35" s="15">
        <f>TOGW/WOS</f>
        <v>792.5045341552734</v>
      </c>
      <c r="D35" s="4"/>
      <c r="E35" s="108" t="s">
        <v>119</v>
      </c>
      <c r="F35" s="109"/>
      <c r="G35" s="110"/>
      <c r="H35" s="9" t="s">
        <v>120</v>
      </c>
      <c r="I35" s="16">
        <f>VHBAR*MAC*SREF/LHT</f>
        <v>446.94279251661493</v>
      </c>
      <c r="J35" s="4"/>
      <c r="K35" s="108" t="s">
        <v>119</v>
      </c>
      <c r="L35" s="109"/>
      <c r="M35" s="110"/>
      <c r="N35" s="9" t="s">
        <v>121</v>
      </c>
      <c r="O35" s="16">
        <f>O20*C36*C35/O26</f>
        <v>113.3058708468553</v>
      </c>
      <c r="P35" s="4"/>
      <c r="Q35" s="9" t="s">
        <v>122</v>
      </c>
      <c r="R35" s="74"/>
      <c r="S35" s="74"/>
      <c r="T35" s="9" t="s">
        <v>123</v>
      </c>
      <c r="U35" s="14">
        <f>(U21+U22)/2</f>
        <v>7.415</v>
      </c>
      <c r="V35" s="4"/>
      <c r="W35" s="108" t="s">
        <v>124</v>
      </c>
      <c r="X35" s="109"/>
      <c r="Y35" s="110"/>
      <c r="Z35" s="9" t="s">
        <v>125</v>
      </c>
      <c r="AA35" s="14">
        <f>Propulsion!C18/AA21</f>
        <v>13.07632481356201</v>
      </c>
      <c r="AB35" s="4"/>
    </row>
    <row r="36" spans="1:28" ht="12.75" x14ac:dyDescent="0.2">
      <c r="A36" s="9" t="s">
        <v>126</v>
      </c>
      <c r="B36" s="9" t="s">
        <v>127</v>
      </c>
      <c r="C36" s="15">
        <f>SQRT(AR*SREF)</f>
        <v>39.812172363619482</v>
      </c>
      <c r="D36" s="4"/>
      <c r="E36" s="108" t="s">
        <v>128</v>
      </c>
      <c r="F36" s="109"/>
      <c r="G36" s="110"/>
      <c r="H36" s="9" t="s">
        <v>129</v>
      </c>
      <c r="I36" s="16">
        <f>2*1.05*I35</f>
        <v>938.57986428489141</v>
      </c>
      <c r="J36" s="4"/>
      <c r="K36" s="108" t="s">
        <v>128</v>
      </c>
      <c r="L36" s="109"/>
      <c r="M36" s="110"/>
      <c r="N36" s="9" t="s">
        <v>130</v>
      </c>
      <c r="O36" s="16">
        <f>2*1.05*O35</f>
        <v>237.94232877839613</v>
      </c>
      <c r="P36" s="4"/>
      <c r="Q36" s="9" t="s">
        <v>131</v>
      </c>
      <c r="R36" s="74"/>
      <c r="S36" s="74"/>
      <c r="T36" s="9" t="s">
        <v>132</v>
      </c>
      <c r="U36" s="14">
        <f>U35^2/(8*U23)</f>
        <v>0.59763288043478258</v>
      </c>
      <c r="V36" s="4"/>
      <c r="W36" s="108" t="s">
        <v>133</v>
      </c>
      <c r="X36" s="109"/>
      <c r="Y36" s="110"/>
      <c r="Z36" s="9" t="s">
        <v>134</v>
      </c>
      <c r="AA36" s="14">
        <f>SQRT(4*AA35/PI())</f>
        <v>4.0803546233665529</v>
      </c>
      <c r="AB36" s="4"/>
    </row>
    <row r="37" spans="1:28" ht="12.75" x14ac:dyDescent="0.2">
      <c r="A37" s="9" t="s">
        <v>135</v>
      </c>
      <c r="B37" s="9" t="s">
        <v>136</v>
      </c>
      <c r="C37" s="15">
        <f>2*C36/C20/(1+C21)</f>
        <v>28.437265974013918</v>
      </c>
      <c r="D37" s="4"/>
      <c r="E37" s="108" t="s">
        <v>137</v>
      </c>
      <c r="F37" s="109"/>
      <c r="G37" s="110"/>
      <c r="H37" s="9" t="s">
        <v>138</v>
      </c>
      <c r="I37" s="16">
        <f>SQRT(I22*I35)</f>
        <v>42.282043116037563</v>
      </c>
      <c r="J37" s="4"/>
      <c r="K37" s="108" t="s">
        <v>139</v>
      </c>
      <c r="L37" s="109"/>
      <c r="M37" s="110"/>
      <c r="N37" s="9" t="s">
        <v>140</v>
      </c>
      <c r="O37" s="16">
        <f>SQRT(O22*O35)</f>
        <v>12.22962589443557</v>
      </c>
      <c r="P37" s="4"/>
      <c r="Q37" s="108" t="s">
        <v>141</v>
      </c>
      <c r="R37" s="109"/>
      <c r="S37" s="110"/>
      <c r="T37" s="9" t="s">
        <v>142</v>
      </c>
      <c r="U37" s="16">
        <f>0.667*PI()/U36*(SQRT((U35^2/4+U36^2)^3)-U36^3)</f>
        <v>184.94461379515812</v>
      </c>
      <c r="V37" s="4"/>
      <c r="W37" s="108" t="s">
        <v>143</v>
      </c>
      <c r="X37" s="109"/>
      <c r="Y37" s="110"/>
      <c r="Z37" s="9" t="s">
        <v>144</v>
      </c>
      <c r="AA37" s="14">
        <f>Propulsion!C18^0.4/AA22</f>
        <v>12.132749750732229</v>
      </c>
      <c r="AB37" s="4"/>
    </row>
    <row r="38" spans="1:28" ht="12.75" x14ac:dyDescent="0.2">
      <c r="A38" s="9" t="s">
        <v>145</v>
      </c>
      <c r="B38" s="9" t="s">
        <v>146</v>
      </c>
      <c r="C38" s="15">
        <f>C37*C21</f>
        <v>11.374906389605568</v>
      </c>
      <c r="D38" s="4"/>
      <c r="E38" s="108" t="s">
        <v>147</v>
      </c>
      <c r="F38" s="109"/>
      <c r="G38" s="110"/>
      <c r="H38" s="9" t="s">
        <v>148</v>
      </c>
      <c r="I38" s="16">
        <f>2*I37/I22/(1+I24)</f>
        <v>16.076822477580823</v>
      </c>
      <c r="J38" s="4"/>
      <c r="K38" s="108" t="s">
        <v>147</v>
      </c>
      <c r="L38" s="109"/>
      <c r="M38" s="110"/>
      <c r="N38" s="9" t="s">
        <v>149</v>
      </c>
      <c r="O38" s="16">
        <f>2*O35/O37/(1+O24)</f>
        <v>13.049110002598772</v>
      </c>
      <c r="P38" s="4"/>
      <c r="Q38" s="9" t="s">
        <v>150</v>
      </c>
      <c r="R38" s="74"/>
      <c r="S38" s="74"/>
      <c r="T38" s="9" t="s">
        <v>151</v>
      </c>
      <c r="U38" s="16">
        <f>PI()*U35*U24</f>
        <v>601.00866578030252</v>
      </c>
      <c r="V38" s="4"/>
      <c r="W38" s="108" t="s">
        <v>152</v>
      </c>
      <c r="X38" s="109"/>
      <c r="Y38" s="110"/>
      <c r="Z38" s="9" t="s">
        <v>153</v>
      </c>
      <c r="AA38" s="14">
        <f>PI()*AA36*AA37</f>
        <v>155.52743941784186</v>
      </c>
      <c r="AB38" s="4"/>
    </row>
    <row r="39" spans="1:28" ht="12.75" x14ac:dyDescent="0.2">
      <c r="A39" s="9" t="s">
        <v>154</v>
      </c>
      <c r="B39" s="9" t="s">
        <v>155</v>
      </c>
      <c r="C39" s="15">
        <f>C37-(C37-C38)*U22/(C36/2)</f>
        <v>20.868694545442491</v>
      </c>
      <c r="D39" s="4"/>
      <c r="E39" s="108" t="s">
        <v>156</v>
      </c>
      <c r="F39" s="109"/>
      <c r="G39" s="110"/>
      <c r="H39" s="9" t="s">
        <v>157</v>
      </c>
      <c r="I39" s="16">
        <f>I23*I38</f>
        <v>1.6076822477580823</v>
      </c>
      <c r="J39" s="4"/>
      <c r="K39" s="108" t="s">
        <v>156</v>
      </c>
      <c r="L39" s="109"/>
      <c r="M39" s="110"/>
      <c r="N39" s="9" t="s">
        <v>158</v>
      </c>
      <c r="O39" s="16">
        <f>O38*O23</f>
        <v>1.3049110002598772</v>
      </c>
      <c r="P39" s="4"/>
      <c r="Q39" s="9" t="s">
        <v>159</v>
      </c>
      <c r="R39" s="74"/>
      <c r="S39" s="74"/>
      <c r="T39" s="9" t="s">
        <v>160</v>
      </c>
      <c r="U39" s="16">
        <f>SQRT((U35-U25)^2/4+(U20-U24)^2)</f>
        <v>34.400371455116584</v>
      </c>
      <c r="V39" s="4"/>
      <c r="W39" s="108" t="s">
        <v>161</v>
      </c>
      <c r="X39" s="109"/>
      <c r="Y39" s="110"/>
      <c r="Z39" s="9" t="s">
        <v>162</v>
      </c>
      <c r="AA39" s="14">
        <f>AA20*(AA38+AA23)</f>
        <v>423.05487883568372</v>
      </c>
      <c r="AB39" s="4"/>
    </row>
    <row r="40" spans="1:28" ht="12.75" x14ac:dyDescent="0.2">
      <c r="A40" s="9" t="s">
        <v>163</v>
      </c>
      <c r="B40" s="9" t="s">
        <v>164</v>
      </c>
      <c r="C40" s="16">
        <f>C39*C22</f>
        <v>0.73040430909048726</v>
      </c>
      <c r="D40" s="4"/>
      <c r="E40" s="9" t="s">
        <v>165</v>
      </c>
      <c r="F40" s="74"/>
      <c r="G40" s="74"/>
      <c r="H40" s="9" t="s">
        <v>166</v>
      </c>
      <c r="I40" s="16">
        <f>2/3*I38*(1+I24+I24^2)/(1+I24)</f>
        <v>11.526613063805698</v>
      </c>
      <c r="J40" s="4"/>
      <c r="K40" s="108" t="s">
        <v>167</v>
      </c>
      <c r="L40" s="109"/>
      <c r="M40" s="110"/>
      <c r="N40" s="9" t="s">
        <v>168</v>
      </c>
      <c r="O40" s="16">
        <f>2/3*O38*(1+O24+O24^2)/(1+O24)</f>
        <v>9.7800935249524308</v>
      </c>
      <c r="P40" s="4"/>
      <c r="Q40" s="9" t="s">
        <v>169</v>
      </c>
      <c r="R40" s="74"/>
      <c r="S40" s="74"/>
      <c r="T40" s="9" t="s">
        <v>170</v>
      </c>
      <c r="U40" s="16">
        <f>PI()*U39*(U35+U25)/2</f>
        <v>400.676770360202</v>
      </c>
      <c r="V40" s="4"/>
      <c r="W40" s="9" t="s">
        <v>171</v>
      </c>
      <c r="X40" s="74"/>
      <c r="Y40" s="74"/>
      <c r="Z40" s="12"/>
      <c r="AA40" s="12"/>
      <c r="AB40" s="4"/>
    </row>
    <row r="41" spans="1:28" ht="12.75" x14ac:dyDescent="0.2">
      <c r="A41" s="9" t="s">
        <v>172</v>
      </c>
      <c r="B41" s="9" t="s">
        <v>173</v>
      </c>
      <c r="C41" s="15">
        <f>(C37+C39)/2*U22</f>
        <v>217.68581569340003</v>
      </c>
      <c r="D41" s="4"/>
      <c r="E41" s="9" t="s">
        <v>174</v>
      </c>
      <c r="F41" s="74"/>
      <c r="G41" s="74"/>
      <c r="H41" s="9" t="s">
        <v>175</v>
      </c>
      <c r="I41" s="14">
        <f>IF(I25="Y",1,1.1)</f>
        <v>1</v>
      </c>
      <c r="J41" s="4"/>
      <c r="K41" s="9" t="s">
        <v>176</v>
      </c>
      <c r="L41" s="74"/>
      <c r="M41" s="74"/>
      <c r="N41" s="9" t="s">
        <v>177</v>
      </c>
      <c r="O41" s="16">
        <f>0.3*O35</f>
        <v>33.991761254056591</v>
      </c>
      <c r="P41" s="4"/>
      <c r="Q41" s="108" t="s">
        <v>178</v>
      </c>
      <c r="R41" s="109"/>
      <c r="S41" s="110"/>
      <c r="T41" s="9" t="s">
        <v>179</v>
      </c>
      <c r="U41" s="16">
        <f>PI()*C40*C39/2</f>
        <v>23.942995619500397</v>
      </c>
      <c r="V41" s="4"/>
      <c r="W41" s="4"/>
      <c r="X41" s="4"/>
      <c r="Y41" s="4"/>
      <c r="Z41" s="4"/>
      <c r="AA41" s="4"/>
      <c r="AB41" s="4"/>
    </row>
    <row r="42" spans="1:28" ht="12.75" x14ac:dyDescent="0.2">
      <c r="A42" s="9" t="s">
        <v>180</v>
      </c>
      <c r="B42" s="9" t="s">
        <v>181</v>
      </c>
      <c r="C42" s="15">
        <f>2*(C35-C41)*1.05</f>
        <v>1207.1193087699342</v>
      </c>
      <c r="D42" s="4"/>
      <c r="E42" s="4"/>
      <c r="F42" s="4"/>
      <c r="G42" s="4"/>
      <c r="H42" s="4"/>
      <c r="I42" s="4"/>
      <c r="J42" s="4"/>
      <c r="K42" s="112"/>
      <c r="L42" s="113"/>
      <c r="M42" s="114"/>
      <c r="N42" s="12"/>
      <c r="O42" s="12"/>
      <c r="P42" s="4"/>
      <c r="Q42" s="9" t="s">
        <v>182</v>
      </c>
      <c r="R42" s="74"/>
      <c r="S42" s="74"/>
      <c r="T42" s="9" t="s">
        <v>183</v>
      </c>
      <c r="U42" s="16">
        <f>PI()*I38*I39/2</f>
        <v>40.599464891645226</v>
      </c>
      <c r="V42" s="4"/>
      <c r="W42" s="4"/>
      <c r="X42" s="4"/>
      <c r="Y42" s="4"/>
      <c r="Z42" s="4"/>
      <c r="AA42" s="4"/>
      <c r="AB42" s="4"/>
    </row>
    <row r="43" spans="1:28" ht="12.75" x14ac:dyDescent="0.2">
      <c r="A43" s="9" t="s">
        <v>184</v>
      </c>
      <c r="B43" s="9" t="s">
        <v>185</v>
      </c>
      <c r="C43" s="15">
        <f>2/3*C37*(1+C21+C21^2)/(1+C21)</f>
        <v>21.124826152124623</v>
      </c>
      <c r="D43" s="4"/>
      <c r="E43" s="4"/>
      <c r="F43" s="4"/>
      <c r="G43" s="4"/>
      <c r="H43" s="4"/>
      <c r="I43" s="4"/>
      <c r="J43" s="4"/>
      <c r="K43" s="108" t="s">
        <v>186</v>
      </c>
      <c r="L43" s="109"/>
      <c r="M43" s="110"/>
      <c r="N43" s="9" t="s">
        <v>187</v>
      </c>
      <c r="O43" s="14">
        <f>1+0.15*I35*O27/O35</f>
        <v>1.5916853061224487</v>
      </c>
      <c r="P43" s="4"/>
      <c r="Q43" s="108" t="s">
        <v>188</v>
      </c>
      <c r="R43" s="109"/>
      <c r="S43" s="110"/>
      <c r="T43" s="9" t="s">
        <v>189</v>
      </c>
      <c r="U43" s="16">
        <f>PI()*O38*O39/4</f>
        <v>13.373702738343855</v>
      </c>
      <c r="V43" s="4"/>
      <c r="W43" s="4"/>
      <c r="X43" s="4"/>
      <c r="Y43" s="4"/>
      <c r="Z43" s="4"/>
      <c r="AA43" s="4"/>
      <c r="AB43" s="4"/>
    </row>
    <row r="44" spans="1:28" ht="12.75" x14ac:dyDescent="0.2">
      <c r="A44" s="9" t="s">
        <v>190</v>
      </c>
      <c r="B44" s="9" t="s">
        <v>191</v>
      </c>
      <c r="C44" s="16">
        <f>57.3*ATAN(TAN(C23/57.3)-(C37-C38)/C36)</f>
        <v>52.502710275901784</v>
      </c>
      <c r="D44" s="4"/>
      <c r="E44" s="4"/>
      <c r="F44" s="4"/>
      <c r="G44" s="4"/>
      <c r="H44" s="4"/>
      <c r="I44" s="4"/>
      <c r="J44" s="4"/>
      <c r="K44" s="5" t="s">
        <v>19</v>
      </c>
      <c r="L44" s="4"/>
      <c r="M44" s="4"/>
      <c r="N44" s="5" t="s">
        <v>19</v>
      </c>
      <c r="O44" s="4"/>
      <c r="P44" s="4"/>
      <c r="Q44" s="9" t="s">
        <v>192</v>
      </c>
      <c r="R44" s="74"/>
      <c r="S44" s="74"/>
      <c r="T44" s="9" t="s">
        <v>193</v>
      </c>
      <c r="U44" s="16">
        <f>U37+U38+U40-(U41+U42+U43)</f>
        <v>1108.7138866861731</v>
      </c>
      <c r="V44" s="4"/>
      <c r="W44" s="4"/>
      <c r="X44" s="4"/>
      <c r="Y44" s="4"/>
      <c r="Z44" s="4"/>
      <c r="AA44" s="4"/>
      <c r="AB44" s="4"/>
    </row>
    <row r="45" spans="1:28" ht="12.75" x14ac:dyDescent="0.2">
      <c r="A45" s="9" t="s">
        <v>194</v>
      </c>
      <c r="B45" s="9" t="s">
        <v>195</v>
      </c>
      <c r="C45" s="14">
        <f>IF(C24&lt;0.3,2,1.2)</f>
        <v>1.2</v>
      </c>
      <c r="D45" s="4"/>
      <c r="E45" s="4"/>
      <c r="F45" s="4"/>
      <c r="G45" s="4"/>
      <c r="H45" s="4"/>
      <c r="I45" s="4"/>
      <c r="J45" s="4"/>
      <c r="K45" s="4"/>
      <c r="L45" s="4"/>
      <c r="M45" s="4"/>
      <c r="N45" s="4"/>
      <c r="O45" s="4"/>
      <c r="P45" s="4"/>
      <c r="Q45" s="9" t="s">
        <v>196</v>
      </c>
      <c r="R45" s="74"/>
      <c r="S45" s="74"/>
      <c r="T45" s="9" t="s">
        <v>197</v>
      </c>
      <c r="U45" s="14">
        <f>IF(U26="y",1.25,1)</f>
        <v>1</v>
      </c>
      <c r="V45" s="4"/>
      <c r="W45" s="4"/>
      <c r="X45" s="4"/>
      <c r="Y45" s="4"/>
      <c r="Z45" s="4"/>
      <c r="AA45" s="4"/>
      <c r="AB45" s="4"/>
    </row>
    <row r="46" spans="1:28" ht="12.75" x14ac:dyDescent="0.2">
      <c r="A46" s="9" t="s">
        <v>198</v>
      </c>
      <c r="B46" s="12"/>
      <c r="C46" s="12"/>
      <c r="D46" s="4"/>
      <c r="E46" s="4"/>
      <c r="F46" s="4"/>
      <c r="G46" s="4"/>
      <c r="H46" s="4"/>
      <c r="I46" s="4"/>
      <c r="J46" s="4"/>
      <c r="K46" s="4"/>
      <c r="L46" s="4"/>
      <c r="M46" s="4"/>
      <c r="N46" s="4"/>
      <c r="O46" s="4"/>
      <c r="P46" s="4"/>
      <c r="Q46" s="108" t="s">
        <v>199</v>
      </c>
      <c r="R46" s="109"/>
      <c r="S46" s="110"/>
      <c r="T46" s="9" t="s">
        <v>200</v>
      </c>
      <c r="U46" s="14">
        <f>IF(U27="y",1.08,1)</f>
        <v>1.08</v>
      </c>
      <c r="V46" s="4"/>
      <c r="W46" s="4"/>
      <c r="X46" s="4"/>
      <c r="Y46" s="4"/>
      <c r="Z46" s="4"/>
      <c r="AA46" s="4"/>
      <c r="AB46" s="4"/>
    </row>
    <row r="47" spans="1:28" ht="12.75" x14ac:dyDescent="0.2">
      <c r="A47" s="9" t="s">
        <v>201</v>
      </c>
      <c r="B47" s="9" t="s">
        <v>202</v>
      </c>
      <c r="C47" s="14">
        <f>IF(C27="Y",1.175,1)</f>
        <v>1</v>
      </c>
      <c r="D47" s="4"/>
      <c r="E47" s="4"/>
      <c r="F47" s="4"/>
      <c r="G47" s="4"/>
      <c r="H47" s="4"/>
      <c r="I47" s="4"/>
      <c r="J47" s="4"/>
      <c r="K47" s="4"/>
      <c r="L47" s="4"/>
      <c r="M47" s="4"/>
      <c r="N47" s="4"/>
      <c r="O47" s="4"/>
      <c r="P47" s="4"/>
      <c r="Q47" s="108" t="s">
        <v>203</v>
      </c>
      <c r="R47" s="109"/>
      <c r="S47" s="110"/>
      <c r="T47" s="9" t="s">
        <v>204</v>
      </c>
      <c r="U47" s="14">
        <f>IF(U28="y",1.07,1)</f>
        <v>1</v>
      </c>
      <c r="V47" s="4"/>
      <c r="W47" s="4"/>
      <c r="X47" s="4"/>
      <c r="Y47" s="4"/>
      <c r="Z47" s="4"/>
      <c r="AA47" s="4"/>
      <c r="AB47" s="4"/>
    </row>
    <row r="48" spans="1:28" ht="12.75" x14ac:dyDescent="0.2">
      <c r="A48" s="9" t="s">
        <v>205</v>
      </c>
      <c r="B48" s="12"/>
      <c r="C48" s="12"/>
      <c r="D48" s="4"/>
      <c r="E48" s="4"/>
      <c r="F48" s="4"/>
      <c r="G48" s="4"/>
      <c r="H48" s="4"/>
      <c r="I48" s="4"/>
      <c r="J48" s="4"/>
      <c r="K48" s="4"/>
      <c r="L48" s="4"/>
      <c r="M48" s="4"/>
      <c r="N48" s="4"/>
      <c r="O48" s="4"/>
      <c r="P48" s="4"/>
      <c r="Q48" s="108" t="s">
        <v>206</v>
      </c>
      <c r="R48" s="109"/>
      <c r="S48" s="110"/>
      <c r="T48" s="9" t="s">
        <v>207</v>
      </c>
      <c r="U48" s="14">
        <f>IF(U29="y",1.1,1)</f>
        <v>1</v>
      </c>
      <c r="V48" s="4"/>
      <c r="W48" s="4"/>
      <c r="X48" s="4"/>
      <c r="Y48" s="4"/>
      <c r="Z48" s="4"/>
      <c r="AA48" s="4"/>
      <c r="AB48" s="4"/>
    </row>
    <row r="49" spans="1:28" ht="12.75"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row>
    <row r="50" spans="1:28" ht="12.75" x14ac:dyDescent="0.2">
      <c r="A50" s="3" t="s">
        <v>789</v>
      </c>
      <c r="B50" s="4"/>
      <c r="C50" s="4"/>
      <c r="D50" s="4"/>
      <c r="E50" s="4"/>
      <c r="F50" s="4"/>
      <c r="G50" s="4"/>
      <c r="H50" s="4"/>
      <c r="I50" s="4"/>
      <c r="J50" s="4"/>
      <c r="K50" s="4"/>
      <c r="L50" s="4"/>
      <c r="M50" s="4"/>
      <c r="N50" s="4"/>
      <c r="O50" s="4"/>
      <c r="P50" s="4"/>
      <c r="Q50" s="4"/>
      <c r="R50" s="4"/>
      <c r="S50" s="4"/>
      <c r="T50" s="4"/>
      <c r="U50" s="4"/>
      <c r="V50" s="4"/>
      <c r="W50" s="4"/>
      <c r="X50" s="4"/>
      <c r="Y50" s="4"/>
      <c r="Z50" s="4"/>
      <c r="AA50" s="4"/>
      <c r="AB50" s="4"/>
    </row>
    <row r="51" spans="1:28" ht="12.75"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5" x14ac:dyDescent="0.2">
      <c r="A52" s="12" t="s">
        <v>787</v>
      </c>
      <c r="B52" s="12" t="s">
        <v>788</v>
      </c>
      <c r="C52" s="84">
        <f>TOC*SREF</f>
        <v>27.737658695434572</v>
      </c>
      <c r="D52" s="4"/>
      <c r="E52" s="4"/>
      <c r="F52" s="4"/>
      <c r="G52" s="4"/>
      <c r="H52" s="4"/>
      <c r="I52" s="4"/>
      <c r="J52" s="4"/>
      <c r="K52" s="4"/>
      <c r="L52" s="4"/>
      <c r="M52" s="4"/>
      <c r="N52" s="4"/>
      <c r="O52" s="4"/>
      <c r="P52" s="4"/>
      <c r="Q52" s="4"/>
      <c r="R52" s="4"/>
      <c r="S52" s="4"/>
      <c r="T52" s="4"/>
      <c r="U52" s="4"/>
      <c r="V52" s="4"/>
      <c r="W52" s="4"/>
      <c r="X52" s="4"/>
      <c r="Y52" s="4"/>
      <c r="Z52" s="4"/>
      <c r="AA52" s="4"/>
      <c r="AB52" s="4"/>
    </row>
    <row r="53" spans="1:28" ht="12.75" x14ac:dyDescent="0.2">
      <c r="A53" s="85" t="s">
        <v>791</v>
      </c>
      <c r="B53" s="12" t="s">
        <v>790</v>
      </c>
      <c r="C53" s="84">
        <f>TSOB*WFUSE</f>
        <v>6.4494700492690029</v>
      </c>
    </row>
    <row r="54" spans="1:28" ht="12.75" x14ac:dyDescent="0.2">
      <c r="A54" s="85" t="s">
        <v>792</v>
      </c>
      <c r="B54" s="12" t="s">
        <v>793</v>
      </c>
      <c r="C54" s="84">
        <f>GROSFRON-FUSEAREA</f>
        <v>21.288188646165569</v>
      </c>
    </row>
    <row r="55" spans="1:28" ht="12.75" x14ac:dyDescent="0.2">
      <c r="A55" s="85" t="s">
        <v>794</v>
      </c>
      <c r="B55" s="12" t="s">
        <v>795</v>
      </c>
      <c r="C55" s="84">
        <f>HFUSE*WFUSE/2</f>
        <v>26.490000000000002</v>
      </c>
    </row>
    <row r="56" spans="1:28" ht="12.75" x14ac:dyDescent="0.2">
      <c r="A56" s="85" t="s">
        <v>804</v>
      </c>
      <c r="B56" s="12"/>
      <c r="C56" s="84">
        <f>NNAC*AXSNAC</f>
        <v>26.152649627124021</v>
      </c>
    </row>
    <row r="57" spans="1:28" ht="12.75" x14ac:dyDescent="0.2">
      <c r="A57" s="85" t="s">
        <v>796</v>
      </c>
      <c r="B57" s="12" t="s">
        <v>797</v>
      </c>
      <c r="C57" s="84">
        <f>C54+C55-C56</f>
        <v>21.625539019041554</v>
      </c>
    </row>
  </sheetData>
  <mergeCells count="43">
    <mergeCell ref="Q46:S46"/>
    <mergeCell ref="Q47:S47"/>
    <mergeCell ref="Q48:S48"/>
    <mergeCell ref="W35:Y35"/>
    <mergeCell ref="W36:Y36"/>
    <mergeCell ref="W37:Y37"/>
    <mergeCell ref="W38:Y38"/>
    <mergeCell ref="W39:Y39"/>
    <mergeCell ref="W20:Y20"/>
    <mergeCell ref="W23:Y23"/>
    <mergeCell ref="Q37:S37"/>
    <mergeCell ref="Q41:S41"/>
    <mergeCell ref="Q43:S43"/>
    <mergeCell ref="K40:M40"/>
    <mergeCell ref="K42:M42"/>
    <mergeCell ref="K43:M43"/>
    <mergeCell ref="Q20:S20"/>
    <mergeCell ref="Q21:S21"/>
    <mergeCell ref="Q23:S23"/>
    <mergeCell ref="Q28:S28"/>
    <mergeCell ref="Q29:S29"/>
    <mergeCell ref="K35:M35"/>
    <mergeCell ref="K36:M36"/>
    <mergeCell ref="K37:M37"/>
    <mergeCell ref="K38:M38"/>
    <mergeCell ref="K39:M39"/>
    <mergeCell ref="E35:G35"/>
    <mergeCell ref="E36:G36"/>
    <mergeCell ref="E37:G37"/>
    <mergeCell ref="E38:G38"/>
    <mergeCell ref="E39:G39"/>
    <mergeCell ref="E3:G3"/>
    <mergeCell ref="E27:G27"/>
    <mergeCell ref="K22:M22"/>
    <mergeCell ref="K23:M23"/>
    <mergeCell ref="K24:M24"/>
    <mergeCell ref="K26:M26"/>
    <mergeCell ref="K27:M27"/>
    <mergeCell ref="E22:G22"/>
    <mergeCell ref="E24:G24"/>
    <mergeCell ref="E25:G25"/>
    <mergeCell ref="E23:G23"/>
    <mergeCell ref="E11:G11"/>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57"/>
  <sheetViews>
    <sheetView topLeftCell="A6" zoomScale="89" zoomScaleNormal="89" workbookViewId="0">
      <selection activeCell="F36" sqref="F36"/>
    </sheetView>
  </sheetViews>
  <sheetFormatPr defaultRowHeight="12" x14ac:dyDescent="0.15"/>
  <cols>
    <col min="1" max="1" width="26.375" customWidth="1"/>
  </cols>
  <sheetData>
    <row r="1" spans="1:14" ht="12.75" x14ac:dyDescent="0.2">
      <c r="A1" s="2" t="s">
        <v>208</v>
      </c>
      <c r="B1" s="4"/>
      <c r="C1" s="4"/>
      <c r="D1" s="4"/>
      <c r="E1" s="4"/>
      <c r="F1" s="4"/>
      <c r="G1" s="4"/>
      <c r="H1" s="4"/>
      <c r="I1" s="4"/>
      <c r="J1" s="4"/>
      <c r="K1" s="4"/>
      <c r="L1" s="4"/>
      <c r="M1" s="4"/>
      <c r="N1" s="4"/>
    </row>
    <row r="2" spans="1:14" ht="12.75" x14ac:dyDescent="0.2">
      <c r="A2" s="4"/>
      <c r="B2" s="4"/>
      <c r="C2" s="4"/>
      <c r="D2" s="4"/>
      <c r="E2" s="4"/>
      <c r="F2" s="4"/>
      <c r="G2" s="4"/>
      <c r="H2" s="4"/>
      <c r="I2" s="4"/>
      <c r="J2" s="4"/>
      <c r="K2" s="4"/>
      <c r="L2" s="4"/>
      <c r="M2" s="4"/>
      <c r="N2" s="4"/>
    </row>
    <row r="3" spans="1:14" ht="12.75" x14ac:dyDescent="0.2">
      <c r="A3" s="5" t="s">
        <v>209</v>
      </c>
      <c r="B3" s="4"/>
      <c r="C3" s="4"/>
      <c r="D3" s="4"/>
      <c r="E3" s="5" t="s">
        <v>210</v>
      </c>
      <c r="F3" s="4"/>
      <c r="G3" s="4"/>
      <c r="H3" s="4"/>
      <c r="I3" s="4"/>
      <c r="J3" s="4"/>
      <c r="K3" s="4"/>
      <c r="L3" s="4"/>
      <c r="M3" s="4"/>
      <c r="N3" s="4"/>
    </row>
    <row r="4" spans="1:14" ht="12.75" x14ac:dyDescent="0.2">
      <c r="A4" s="4"/>
      <c r="B4" s="4"/>
      <c r="C4" s="4"/>
      <c r="D4" s="4"/>
      <c r="E4" s="4"/>
      <c r="F4" s="4"/>
      <c r="G4" s="4"/>
      <c r="H4" s="4"/>
      <c r="I4" s="4"/>
      <c r="J4" s="4"/>
      <c r="K4" s="4"/>
      <c r="L4" s="4"/>
      <c r="M4" s="4"/>
    </row>
    <row r="5" spans="1:14" ht="14.25" x14ac:dyDescent="0.25">
      <c r="A5" s="5" t="s">
        <v>725</v>
      </c>
      <c r="B5" s="4"/>
      <c r="C5" s="4"/>
      <c r="D5" s="4"/>
      <c r="E5" s="4"/>
      <c r="F5" s="4"/>
      <c r="G5" s="4"/>
      <c r="H5" s="4"/>
      <c r="I5" s="4"/>
      <c r="J5" s="4"/>
      <c r="K5" s="4"/>
      <c r="L5" s="4"/>
      <c r="M5" s="4"/>
    </row>
    <row r="6" spans="1:14" ht="14.25" x14ac:dyDescent="0.25">
      <c r="A6" s="5" t="s">
        <v>704</v>
      </c>
      <c r="B6" s="4"/>
      <c r="C6" s="4"/>
      <c r="D6" s="4"/>
      <c r="E6" s="4"/>
      <c r="F6" s="4"/>
      <c r="G6" s="4"/>
      <c r="H6" s="4"/>
      <c r="I6" s="4"/>
      <c r="J6" s="4"/>
      <c r="K6" s="4"/>
      <c r="L6" s="4"/>
      <c r="M6" s="4"/>
    </row>
    <row r="7" spans="1:14" ht="14.25" x14ac:dyDescent="0.25">
      <c r="A7" s="4"/>
      <c r="B7" s="4"/>
      <c r="C7" s="4"/>
      <c r="D7" s="4"/>
      <c r="E7" s="108" t="s">
        <v>724</v>
      </c>
      <c r="F7" s="109"/>
      <c r="G7" s="110"/>
      <c r="H7" s="9" t="s">
        <v>211</v>
      </c>
      <c r="I7" s="17">
        <f>IF(C9=0,J30,C9)</f>
        <v>1.3914279478188714E-2</v>
      </c>
      <c r="J7" s="4"/>
      <c r="K7" s="4"/>
      <c r="L7" s="4"/>
      <c r="M7" s="4"/>
    </row>
    <row r="8" spans="1:14" ht="12.75" x14ac:dyDescent="0.2">
      <c r="A8" s="4"/>
      <c r="B8" s="4"/>
      <c r="C8" s="4"/>
      <c r="D8" s="4"/>
      <c r="E8" s="9" t="s">
        <v>212</v>
      </c>
      <c r="F8" s="75"/>
      <c r="G8" s="75"/>
      <c r="H8" s="12"/>
      <c r="I8" s="12"/>
      <c r="J8" s="4"/>
      <c r="K8" s="4"/>
      <c r="L8" s="4"/>
      <c r="M8" s="4"/>
    </row>
    <row r="9" spans="1:14" ht="14.25" x14ac:dyDescent="0.25">
      <c r="A9" s="9" t="s">
        <v>750</v>
      </c>
      <c r="B9" s="9" t="s">
        <v>213</v>
      </c>
      <c r="C9" s="52">
        <v>0</v>
      </c>
      <c r="D9" s="4"/>
      <c r="E9" s="108" t="s">
        <v>214</v>
      </c>
      <c r="F9" s="109"/>
      <c r="G9" s="110"/>
      <c r="H9" s="9" t="s">
        <v>215</v>
      </c>
      <c r="I9" s="16">
        <f>1/(PI()*Baseline!$C$20*$C$10)</f>
        <v>0.19894367886486919</v>
      </c>
      <c r="J9" s="4"/>
      <c r="K9" s="4"/>
      <c r="L9" s="4"/>
      <c r="M9" s="4"/>
    </row>
    <row r="10" spans="1:14" ht="12.75" x14ac:dyDescent="0.2">
      <c r="A10" s="9" t="s">
        <v>216</v>
      </c>
      <c r="B10" s="9" t="s">
        <v>217</v>
      </c>
      <c r="C10" s="49">
        <v>0.8</v>
      </c>
      <c r="D10" s="4"/>
      <c r="E10" s="108" t="s">
        <v>218</v>
      </c>
      <c r="F10" s="109"/>
      <c r="G10" s="110"/>
      <c r="H10" s="9" t="s">
        <v>219</v>
      </c>
      <c r="I10" s="16">
        <f>SQRT(Mission!C26^2-1)/4</f>
        <v>0.27950849718747373</v>
      </c>
      <c r="J10" s="4"/>
      <c r="K10" s="4"/>
      <c r="L10" s="4"/>
      <c r="M10" s="4"/>
    </row>
    <row r="11" spans="1:14" ht="14.25" x14ac:dyDescent="0.25">
      <c r="A11" s="12"/>
      <c r="B11" s="12"/>
      <c r="C11" s="50"/>
      <c r="D11" s="4"/>
      <c r="E11" s="108" t="s">
        <v>720</v>
      </c>
      <c r="F11" s="109"/>
      <c r="G11" s="110"/>
      <c r="H11" s="9" t="s">
        <v>220</v>
      </c>
      <c r="I11" s="16">
        <f>1/(2*SQRT(I7*I9))</f>
        <v>9.5033028800969088</v>
      </c>
      <c r="J11" s="4"/>
      <c r="K11" s="4"/>
      <c r="L11" s="4"/>
      <c r="M11" s="4"/>
    </row>
    <row r="12" spans="1:14" ht="14.25" x14ac:dyDescent="0.25">
      <c r="A12" s="9" t="s">
        <v>751</v>
      </c>
      <c r="B12" s="9" t="s">
        <v>221</v>
      </c>
      <c r="C12" s="52">
        <v>0.04</v>
      </c>
      <c r="D12" s="4"/>
      <c r="E12" s="108" t="s">
        <v>721</v>
      </c>
      <c r="F12" s="109"/>
      <c r="G12" s="110"/>
      <c r="H12" s="9" t="s">
        <v>222</v>
      </c>
      <c r="I12" s="16">
        <f>0.943*I11</f>
        <v>8.961614615931385</v>
      </c>
      <c r="J12" s="4"/>
      <c r="K12" s="4"/>
      <c r="L12" s="4"/>
      <c r="M12" s="4"/>
    </row>
    <row r="13" spans="1:14" ht="14.25" x14ac:dyDescent="0.25">
      <c r="A13" s="9" t="s">
        <v>223</v>
      </c>
      <c r="B13" s="9" t="s">
        <v>224</v>
      </c>
      <c r="C13" s="49">
        <f>Mission!C26</f>
        <v>1.5</v>
      </c>
      <c r="D13" s="4"/>
      <c r="E13" s="108" t="s">
        <v>722</v>
      </c>
      <c r="F13" s="109"/>
      <c r="G13" s="110"/>
      <c r="H13" s="9" t="s">
        <v>225</v>
      </c>
      <c r="I13" s="16">
        <f>1/(2*SQRT(C12*I10))</f>
        <v>4.7287080450158792</v>
      </c>
      <c r="J13" s="4"/>
      <c r="K13" s="4"/>
      <c r="L13" s="4"/>
      <c r="M13" s="4"/>
    </row>
    <row r="14" spans="1:14" ht="14.25" x14ac:dyDescent="0.25">
      <c r="A14" s="4"/>
      <c r="B14" s="4"/>
      <c r="C14" s="4"/>
      <c r="D14" s="4"/>
      <c r="E14" s="108" t="s">
        <v>723</v>
      </c>
      <c r="F14" s="109"/>
      <c r="G14" s="110"/>
      <c r="H14" s="9" t="s">
        <v>226</v>
      </c>
      <c r="I14" s="16">
        <f>0.943*I13</f>
        <v>4.4591716864499737</v>
      </c>
      <c r="J14" s="4"/>
      <c r="K14" s="4"/>
      <c r="L14" s="4"/>
      <c r="M14" s="4"/>
    </row>
    <row r="15" spans="1:14" ht="12.75" x14ac:dyDescent="0.2">
      <c r="A15" s="4"/>
      <c r="B15" s="4"/>
      <c r="C15" s="4"/>
      <c r="D15" s="4"/>
      <c r="E15" s="112"/>
      <c r="F15" s="113"/>
      <c r="G15" s="114"/>
      <c r="H15" s="12"/>
      <c r="I15" s="12"/>
      <c r="J15" s="4"/>
      <c r="K15" s="4"/>
      <c r="L15" s="4"/>
      <c r="M15" s="4"/>
    </row>
    <row r="16" spans="1:14" ht="12.75" x14ac:dyDescent="0.2">
      <c r="A16" s="4"/>
      <c r="B16" s="4"/>
      <c r="C16" s="4"/>
      <c r="D16" s="4"/>
      <c r="E16" s="108" t="s">
        <v>227</v>
      </c>
      <c r="F16" s="109"/>
      <c r="G16" s="110"/>
      <c r="H16" s="9" t="s">
        <v>228</v>
      </c>
      <c r="I16" s="18">
        <f>Atmosphere!G20*Mission!I11/Atmosphere!I20</f>
        <v>2626480.1315561119</v>
      </c>
      <c r="J16" s="4"/>
      <c r="K16" s="4"/>
      <c r="L16" s="4"/>
      <c r="M16" s="4"/>
    </row>
    <row r="17" spans="1:13" ht="12.75" x14ac:dyDescent="0.2">
      <c r="A17" s="2" t="s">
        <v>785</v>
      </c>
      <c r="B17" s="4"/>
      <c r="C17" s="4"/>
      <c r="D17" s="4"/>
      <c r="E17" s="4"/>
      <c r="F17" s="4"/>
      <c r="G17" s="4"/>
      <c r="H17" s="4"/>
      <c r="I17" s="4"/>
      <c r="J17" s="4"/>
      <c r="K17" s="4"/>
      <c r="L17" s="4"/>
      <c r="M17" s="4"/>
    </row>
    <row r="18" spans="1:13" ht="8.25" customHeight="1" x14ac:dyDescent="0.2">
      <c r="A18" s="4"/>
      <c r="B18" s="4"/>
      <c r="C18" s="4"/>
      <c r="D18" s="4"/>
      <c r="E18" s="4"/>
      <c r="G18" s="4"/>
      <c r="H18" s="4"/>
      <c r="I18" s="4"/>
      <c r="J18" s="4"/>
      <c r="K18" s="4"/>
      <c r="L18" s="4"/>
      <c r="M18" s="4"/>
    </row>
    <row r="19" spans="1:13" ht="36" customHeight="1" x14ac:dyDescent="0.25">
      <c r="A19" s="9" t="s">
        <v>229</v>
      </c>
      <c r="B19" s="19" t="s">
        <v>718</v>
      </c>
      <c r="C19" s="62" t="s">
        <v>719</v>
      </c>
      <c r="D19" s="19" t="s">
        <v>716</v>
      </c>
      <c r="E19" s="62" t="s">
        <v>714</v>
      </c>
      <c r="F19" s="19" t="s">
        <v>717</v>
      </c>
      <c r="G19" s="62" t="s">
        <v>752</v>
      </c>
      <c r="H19" s="19" t="s">
        <v>715</v>
      </c>
      <c r="I19" s="19" t="s">
        <v>231</v>
      </c>
      <c r="J19" s="19" t="s">
        <v>713</v>
      </c>
      <c r="K19" s="4"/>
      <c r="L19" s="4"/>
      <c r="M19" s="4"/>
    </row>
    <row r="20" spans="1:13" ht="12.75" x14ac:dyDescent="0.2">
      <c r="A20" s="12"/>
      <c r="B20" s="12"/>
      <c r="C20" s="12"/>
      <c r="D20" s="12"/>
      <c r="E20" s="12"/>
      <c r="G20" s="12"/>
      <c r="H20" s="12"/>
      <c r="I20" s="12"/>
      <c r="J20" s="12"/>
      <c r="K20" s="4"/>
      <c r="L20" s="4"/>
      <c r="M20" s="4"/>
    </row>
    <row r="21" spans="1:13" ht="12.75" x14ac:dyDescent="0.2">
      <c r="A21" s="9" t="s">
        <v>232</v>
      </c>
      <c r="B21" s="15">
        <f>Baseline!C42</f>
        <v>1207.1193087699342</v>
      </c>
      <c r="C21" s="15">
        <f>Baseline!C43</f>
        <v>21.124826152124623</v>
      </c>
      <c r="D21" s="18">
        <f t="shared" ref="D21:D27" si="0">$I$16*C21</f>
        <v>55483936.171132274</v>
      </c>
      <c r="E21" s="16">
        <f>(1+Baseline!C45*Baseline!C22+100*Baseline!C22^4)*Baseline!C25</f>
        <v>1.250580075</v>
      </c>
      <c r="F21" s="14">
        <f t="shared" ref="F21:F27" si="1">0.455/(LOG(D21)^2.58)</f>
        <v>2.3144969204364979E-3</v>
      </c>
      <c r="G21" s="14">
        <v>1.05</v>
      </c>
      <c r="H21" s="12"/>
      <c r="I21" s="14">
        <f>B21*F21*E21*G21+H21</f>
        <v>3.6686612128425482</v>
      </c>
      <c r="J21" s="17">
        <f>I21/Baseline!$C$35</f>
        <v>4.6291990199815777E-3</v>
      </c>
      <c r="K21" s="4"/>
      <c r="L21" s="4"/>
      <c r="M21" s="4"/>
    </row>
    <row r="22" spans="1:13" ht="12.75" x14ac:dyDescent="0.2">
      <c r="A22" s="9" t="s">
        <v>233</v>
      </c>
      <c r="B22" s="15">
        <f>Baseline!I36</f>
        <v>938.57986428489141</v>
      </c>
      <c r="C22" s="15">
        <f>Baseline!I40</f>
        <v>11.526613063805698</v>
      </c>
      <c r="D22" s="18">
        <f t="shared" si="0"/>
        <v>30274420.196220785</v>
      </c>
      <c r="E22" s="16">
        <f>1+1.2*Baseline!I23+100*Baseline!I23^4</f>
        <v>1.1300000000000001</v>
      </c>
      <c r="F22" s="14">
        <f t="shared" si="1"/>
        <v>2.5303705784733826E-3</v>
      </c>
      <c r="G22" s="14">
        <v>1.05</v>
      </c>
      <c r="H22" s="12"/>
      <c r="I22" s="14">
        <f>B22*F22*E22*G22+H22</f>
        <v>2.8178839581600261</v>
      </c>
      <c r="J22" s="17">
        <f>I22/Baseline!$C$35</f>
        <v>3.5556691939480126E-3</v>
      </c>
      <c r="K22" s="4"/>
      <c r="L22" s="4"/>
      <c r="M22" s="4"/>
    </row>
    <row r="23" spans="1:13" ht="12.75" x14ac:dyDescent="0.2">
      <c r="A23" s="9" t="s">
        <v>234</v>
      </c>
      <c r="B23" s="15">
        <f>Baseline!O36</f>
        <v>237.94232877839613</v>
      </c>
      <c r="C23" s="15">
        <f>Baseline!O40</f>
        <v>9.7800935249524308</v>
      </c>
      <c r="D23" s="18">
        <f t="shared" si="0"/>
        <v>25687221.32804814</v>
      </c>
      <c r="E23" s="16">
        <f>1+1.2*Baseline!O23+100*Baseline!O23^4</f>
        <v>1.1300000000000001</v>
      </c>
      <c r="F23" s="14">
        <f t="shared" si="1"/>
        <v>2.5937206190970526E-3</v>
      </c>
      <c r="G23" s="14">
        <v>1.05</v>
      </c>
      <c r="H23" s="12"/>
      <c r="I23" s="14">
        <f>B23*F23*E23*G23+H23</f>
        <v>0.73225550419203067</v>
      </c>
      <c r="J23" s="17">
        <f>I23/Baseline!$C$35</f>
        <v>9.2397642238418001E-4</v>
      </c>
      <c r="K23" s="4"/>
      <c r="L23" s="4"/>
      <c r="M23" s="4"/>
    </row>
    <row r="24" spans="1:13" ht="12.75" x14ac:dyDescent="0.2">
      <c r="A24" s="9" t="s">
        <v>235</v>
      </c>
      <c r="B24" s="15">
        <f>Baseline!U44</f>
        <v>1108.7138866861731</v>
      </c>
      <c r="C24" s="15">
        <f>Baseline!U20</f>
        <v>60</v>
      </c>
      <c r="D24" s="18">
        <f t="shared" si="0"/>
        <v>157588807.89336672</v>
      </c>
      <c r="E24" s="16">
        <f>1+60*(Baseline!U35/Baseline!U20)^3+0.0025*Baseline!U20/Baseline!U35</f>
        <v>1.1334773756630938</v>
      </c>
      <c r="F24" s="14">
        <f t="shared" si="1"/>
        <v>1.9985262250774979E-3</v>
      </c>
      <c r="G24" s="14">
        <v>1.05</v>
      </c>
      <c r="H24" s="12"/>
      <c r="I24" s="14">
        <f>B24*F24*E24*G24+H24</f>
        <v>2.6371297230964554</v>
      </c>
      <c r="J24" s="17">
        <f>I24/Baseline!$C$35</f>
        <v>3.3275894451599052E-3</v>
      </c>
      <c r="K24" s="4"/>
      <c r="L24" s="4"/>
      <c r="M24" s="4"/>
    </row>
    <row r="25" spans="1:13" ht="12.75" x14ac:dyDescent="0.2">
      <c r="A25" s="9" t="s">
        <v>236</v>
      </c>
      <c r="B25" s="15">
        <f>Baseline!AA39</f>
        <v>423.05487883568372</v>
      </c>
      <c r="C25" s="15">
        <f>Baseline!AA37</f>
        <v>12.132749750732229</v>
      </c>
      <c r="D25" s="18">
        <f t="shared" si="0"/>
        <v>31866426.161440566</v>
      </c>
      <c r="E25" s="16">
        <v>1.05</v>
      </c>
      <c r="F25" s="14">
        <f t="shared" si="1"/>
        <v>2.5110505337337689E-3</v>
      </c>
      <c r="G25" s="14">
        <v>1.05</v>
      </c>
      <c r="H25" s="12"/>
      <c r="I25" s="14">
        <f>B25*F25*E25*G25+H25</f>
        <v>1.171199177677168</v>
      </c>
      <c r="J25" s="17">
        <f>I25/Baseline!$C$35</f>
        <v>1.4778453967150399E-3</v>
      </c>
      <c r="K25" s="4"/>
      <c r="L25" s="4"/>
      <c r="M25" s="4"/>
    </row>
    <row r="26" spans="1:13" ht="12.75" x14ac:dyDescent="0.2">
      <c r="A26" s="9" t="s">
        <v>237</v>
      </c>
      <c r="B26" s="15"/>
      <c r="C26" s="15"/>
      <c r="D26" s="18">
        <f t="shared" si="0"/>
        <v>0</v>
      </c>
      <c r="E26" s="12"/>
      <c r="F26" s="14" t="e">
        <f t="shared" si="1"/>
        <v>#NUM!</v>
      </c>
      <c r="G26" s="12"/>
      <c r="H26" s="12"/>
      <c r="I26" s="12"/>
      <c r="J26" s="12"/>
      <c r="K26" s="4"/>
      <c r="L26" s="4"/>
      <c r="M26" s="4"/>
    </row>
    <row r="27" spans="1:13" ht="12.75" x14ac:dyDescent="0.2">
      <c r="A27" s="9" t="s">
        <v>238</v>
      </c>
      <c r="B27" s="15"/>
      <c r="C27" s="15"/>
      <c r="D27" s="18">
        <f t="shared" si="0"/>
        <v>0</v>
      </c>
      <c r="E27" s="12"/>
      <c r="F27" s="14" t="e">
        <f t="shared" si="1"/>
        <v>#NUM!</v>
      </c>
      <c r="G27" s="12"/>
      <c r="H27" s="12"/>
      <c r="I27" s="12"/>
      <c r="J27" s="12"/>
      <c r="K27" s="4"/>
      <c r="L27" s="4"/>
      <c r="M27" s="4"/>
    </row>
    <row r="28" spans="1:13" ht="12.75" x14ac:dyDescent="0.2">
      <c r="A28" s="12"/>
      <c r="B28" s="12"/>
      <c r="C28" s="12"/>
      <c r="D28" s="12"/>
      <c r="E28" s="12"/>
      <c r="F28" s="12"/>
      <c r="G28" s="12"/>
      <c r="H28" s="12"/>
      <c r="I28" s="9" t="s">
        <v>239</v>
      </c>
      <c r="J28" s="12"/>
      <c r="K28" s="4"/>
      <c r="L28" s="4"/>
      <c r="M28" s="4"/>
    </row>
    <row r="29" spans="1:13" ht="12.75" x14ac:dyDescent="0.2">
      <c r="A29" s="12"/>
      <c r="B29" s="12"/>
      <c r="C29" s="12"/>
      <c r="D29" s="12"/>
      <c r="E29" s="12"/>
      <c r="F29" s="12"/>
      <c r="G29" s="12"/>
      <c r="H29" s="9" t="s">
        <v>240</v>
      </c>
      <c r="I29" s="14">
        <f>SUM(I21:I25)</f>
        <v>11.02712957596823</v>
      </c>
      <c r="J29" s="9" t="s">
        <v>239</v>
      </c>
      <c r="K29" s="4"/>
      <c r="L29" s="4"/>
      <c r="M29" s="4"/>
    </row>
    <row r="30" spans="1:13" ht="12.75" x14ac:dyDescent="0.2">
      <c r="A30" s="12"/>
      <c r="B30" s="12"/>
      <c r="C30" s="12"/>
      <c r="D30" s="12"/>
      <c r="E30" s="12"/>
      <c r="F30" s="12"/>
      <c r="G30" s="12"/>
      <c r="H30" s="12"/>
      <c r="I30" s="9" t="s">
        <v>241</v>
      </c>
      <c r="J30" s="17">
        <f>SUM(J21:J25)</f>
        <v>1.3914279478188714E-2</v>
      </c>
      <c r="K30" s="4"/>
      <c r="L30" s="4"/>
      <c r="M30" s="4"/>
    </row>
    <row r="31" spans="1:13" ht="12.75" x14ac:dyDescent="0.2">
      <c r="A31" s="4"/>
      <c r="B31" s="4"/>
      <c r="C31" s="4"/>
      <c r="D31" s="4"/>
      <c r="E31" s="4"/>
      <c r="F31" s="4"/>
      <c r="G31" s="4"/>
      <c r="H31" s="4"/>
      <c r="I31" s="4"/>
      <c r="J31" s="4"/>
      <c r="K31" s="4"/>
      <c r="L31" s="4"/>
      <c r="M31" s="4"/>
    </row>
    <row r="32" spans="1:13" ht="12.75" x14ac:dyDescent="0.2">
      <c r="A32" s="3" t="s">
        <v>786</v>
      </c>
      <c r="B32" s="4"/>
      <c r="C32" s="4"/>
      <c r="D32" s="4"/>
      <c r="E32" s="4"/>
      <c r="F32" s="4"/>
      <c r="G32" s="4"/>
      <c r="H32" s="4"/>
      <c r="I32" s="4"/>
      <c r="J32" s="4"/>
      <c r="K32" s="4"/>
      <c r="L32" s="4"/>
      <c r="M32" s="4"/>
    </row>
    <row r="33" spans="1:94" ht="12.75" x14ac:dyDescent="0.2">
      <c r="A33" s="4"/>
      <c r="B33" s="4"/>
      <c r="C33" s="4"/>
      <c r="D33" s="4"/>
      <c r="E33" s="4"/>
      <c r="F33" s="4"/>
      <c r="G33" s="4"/>
      <c r="H33" s="4"/>
      <c r="I33" s="4"/>
      <c r="J33" s="4"/>
      <c r="K33" s="4"/>
      <c r="L33" s="4"/>
      <c r="M33" s="4"/>
    </row>
    <row r="34" spans="1:94" ht="12.75" x14ac:dyDescent="0.2">
      <c r="A34" s="85" t="s">
        <v>798</v>
      </c>
      <c r="B34" s="83"/>
      <c r="C34" s="12">
        <f>4.5*PI()*(Baseline!C57/LFUSE)^2/SREF</f>
        <v>2.3173520280056151E-3</v>
      </c>
      <c r="D34" s="4"/>
      <c r="E34" s="4"/>
      <c r="F34" s="4"/>
      <c r="G34" s="4"/>
      <c r="H34" s="4"/>
      <c r="I34" s="4"/>
      <c r="J34" s="4"/>
      <c r="K34" s="4"/>
      <c r="L34" s="4"/>
      <c r="M34" s="4"/>
    </row>
    <row r="35" spans="1:94" ht="12.75" x14ac:dyDescent="0.2">
      <c r="A35" s="4"/>
      <c r="B35" s="4"/>
      <c r="C35" s="4"/>
      <c r="D35" s="4"/>
      <c r="E35" s="4"/>
      <c r="F35" s="4"/>
      <c r="G35" s="4"/>
      <c r="H35" s="4"/>
      <c r="I35" s="4"/>
      <c r="J35" s="4"/>
      <c r="K35" s="4"/>
      <c r="L35" s="4"/>
      <c r="M35" s="4"/>
    </row>
    <row r="36" spans="1:94" ht="12.75" x14ac:dyDescent="0.2">
      <c r="A36" s="4"/>
      <c r="B36" s="4"/>
      <c r="C36" s="4"/>
      <c r="D36" s="4"/>
      <c r="E36" s="4"/>
      <c r="F36" s="4"/>
      <c r="G36" s="4"/>
      <c r="H36" s="4"/>
      <c r="I36" s="4"/>
      <c r="J36" s="4"/>
      <c r="K36" s="4"/>
      <c r="L36" s="4"/>
      <c r="M36" s="4"/>
    </row>
    <row r="37" spans="1:94" ht="12.75" x14ac:dyDescent="0.2">
      <c r="A37" s="4"/>
      <c r="B37" s="4"/>
      <c r="C37" s="4"/>
      <c r="D37" s="4"/>
      <c r="E37" s="4"/>
      <c r="F37" s="4"/>
      <c r="G37" s="4"/>
      <c r="H37" s="4"/>
      <c r="I37" s="4"/>
      <c r="J37" s="4"/>
      <c r="K37" s="4"/>
      <c r="L37" s="4"/>
      <c r="M37" s="4"/>
    </row>
    <row r="38" spans="1:94" ht="12.75" x14ac:dyDescent="0.2">
      <c r="A38" s="4"/>
      <c r="B38" s="4"/>
      <c r="C38" s="4"/>
      <c r="D38" s="4"/>
      <c r="E38" s="4"/>
      <c r="F38" s="4"/>
      <c r="G38" s="4"/>
      <c r="H38" s="4"/>
      <c r="I38" s="4"/>
      <c r="J38" s="4"/>
      <c r="K38" s="4"/>
      <c r="L38" s="4"/>
      <c r="M38" s="4"/>
    </row>
    <row r="39" spans="1:94" ht="12.75" x14ac:dyDescent="0.2">
      <c r="A39" s="4"/>
      <c r="B39" s="4"/>
      <c r="C39" s="4"/>
      <c r="D39" s="4"/>
      <c r="E39" s="4"/>
      <c r="F39" s="4"/>
      <c r="G39" s="4"/>
      <c r="H39" s="4"/>
      <c r="I39" s="4"/>
      <c r="J39" s="4"/>
      <c r="K39" s="4"/>
      <c r="L39" s="4"/>
      <c r="M39" s="4"/>
    </row>
    <row r="40" spans="1:94" ht="12.75" x14ac:dyDescent="0.2">
      <c r="A40" s="4"/>
      <c r="B40" s="4"/>
      <c r="C40" s="4"/>
      <c r="D40" s="4"/>
      <c r="E40" s="4"/>
      <c r="F40" s="4"/>
      <c r="G40" s="4"/>
      <c r="H40" s="4"/>
      <c r="I40" s="4"/>
      <c r="J40" s="4"/>
      <c r="K40" s="4"/>
      <c r="L40" s="4"/>
      <c r="M40" s="4"/>
    </row>
    <row r="41" spans="1:94" ht="12.75" x14ac:dyDescent="0.2">
      <c r="A41" s="4"/>
      <c r="B41" s="4"/>
      <c r="C41" s="4"/>
      <c r="D41" s="4"/>
      <c r="E41" s="4"/>
      <c r="F41" s="4"/>
      <c r="G41" s="4"/>
      <c r="H41" s="4"/>
      <c r="I41" s="4"/>
      <c r="J41" s="4"/>
      <c r="K41" s="4"/>
      <c r="L41" s="4"/>
      <c r="M41" s="4"/>
    </row>
    <row r="42" spans="1:94" ht="12.75" x14ac:dyDescent="0.2">
      <c r="A42" s="4"/>
      <c r="B42" s="4"/>
      <c r="C42" s="4"/>
      <c r="D42" s="4"/>
      <c r="E42" s="4"/>
      <c r="F42" s="4"/>
      <c r="G42" s="4"/>
      <c r="H42" s="4"/>
      <c r="I42" s="4"/>
      <c r="J42" s="4"/>
      <c r="K42" s="4"/>
      <c r="L42" s="4"/>
      <c r="M42" s="4"/>
    </row>
    <row r="43" spans="1:94" ht="12.75" x14ac:dyDescent="0.2">
      <c r="A43" s="4"/>
      <c r="B43" s="4"/>
      <c r="C43" s="4"/>
      <c r="D43" s="4"/>
      <c r="E43" s="4"/>
      <c r="F43" s="4"/>
      <c r="G43" s="4"/>
      <c r="H43" s="4"/>
      <c r="I43" s="4"/>
      <c r="J43" s="4"/>
      <c r="K43" s="4"/>
      <c r="L43" s="4"/>
      <c r="M43" s="4"/>
    </row>
    <row r="44" spans="1:94" ht="12.75" x14ac:dyDescent="0.2">
      <c r="A44" s="4"/>
      <c r="B44" s="4"/>
      <c r="C44" s="4"/>
      <c r="D44" s="4"/>
      <c r="E44" s="4"/>
      <c r="F44" s="4"/>
      <c r="G44" s="4"/>
      <c r="H44" s="4"/>
      <c r="I44" s="4"/>
      <c r="J44" s="4"/>
      <c r="K44" s="4"/>
      <c r="L44" s="4"/>
      <c r="M44" s="4"/>
    </row>
    <row r="45" spans="1:94" ht="12.75" x14ac:dyDescent="0.2">
      <c r="A45" s="4"/>
      <c r="B45" s="4"/>
      <c r="C45" s="4"/>
      <c r="D45" s="4"/>
      <c r="E45" s="4"/>
      <c r="F45" s="4"/>
      <c r="G45" s="4"/>
      <c r="H45" s="4"/>
      <c r="I45" s="4"/>
      <c r="J45" s="4"/>
      <c r="K45" s="4"/>
      <c r="L45" s="4"/>
      <c r="M45" s="4"/>
    </row>
    <row r="46" spans="1:94" ht="12.75" x14ac:dyDescent="0.2">
      <c r="A46" s="4"/>
      <c r="B46" s="4"/>
      <c r="C46" s="4"/>
      <c r="D46" s="4"/>
      <c r="E46" s="4"/>
      <c r="F46" s="4"/>
      <c r="G46" s="4"/>
      <c r="H46" s="4"/>
      <c r="I46" s="4"/>
      <c r="J46" s="4"/>
      <c r="K46" s="4"/>
      <c r="L46" s="4"/>
      <c r="M46" s="4"/>
      <c r="N46" s="4"/>
    </row>
    <row r="47" spans="1:94" ht="12.75" x14ac:dyDescent="0.2">
      <c r="A47" s="2" t="s">
        <v>16</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row>
    <row r="48" spans="1:94" ht="12.75"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row>
    <row r="49" spans="1:94" ht="12.75"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row>
    <row r="50" spans="1:94" ht="12.75" x14ac:dyDescent="0.2">
      <c r="A50" s="9" t="s">
        <v>695</v>
      </c>
      <c r="B50" s="9" t="s">
        <v>468</v>
      </c>
      <c r="C50" s="14">
        <v>0</v>
      </c>
      <c r="D50" s="14">
        <f t="shared" ref="D50:S50" si="2">C50+0.05</f>
        <v>0.05</v>
      </c>
      <c r="E50" s="14">
        <f t="shared" si="2"/>
        <v>0.1</v>
      </c>
      <c r="F50" s="14">
        <f t="shared" si="2"/>
        <v>0.15000000000000002</v>
      </c>
      <c r="G50" s="14">
        <f t="shared" si="2"/>
        <v>0.2</v>
      </c>
      <c r="H50" s="14">
        <f t="shared" si="2"/>
        <v>0.25</v>
      </c>
      <c r="I50" s="14">
        <f t="shared" si="2"/>
        <v>0.3</v>
      </c>
      <c r="J50" s="14">
        <f t="shared" si="2"/>
        <v>0.35</v>
      </c>
      <c r="K50" s="14">
        <f t="shared" si="2"/>
        <v>0.39999999999999997</v>
      </c>
      <c r="L50" s="14">
        <f t="shared" si="2"/>
        <v>0.44999999999999996</v>
      </c>
      <c r="M50" s="14">
        <f t="shared" si="2"/>
        <v>0.49999999999999994</v>
      </c>
      <c r="N50" s="14">
        <f t="shared" si="2"/>
        <v>0.54999999999999993</v>
      </c>
      <c r="O50" s="14">
        <f t="shared" si="2"/>
        <v>0.6</v>
      </c>
      <c r="P50" s="14">
        <f t="shared" si="2"/>
        <v>0.65</v>
      </c>
      <c r="Q50" s="14">
        <f t="shared" si="2"/>
        <v>0.70000000000000007</v>
      </c>
      <c r="R50" s="14">
        <f t="shared" si="2"/>
        <v>0.75000000000000011</v>
      </c>
      <c r="S50" s="14">
        <f t="shared" si="2"/>
        <v>0.80000000000000016</v>
      </c>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row>
    <row r="51" spans="1:94" ht="12.75" x14ac:dyDescent="0.2">
      <c r="A51" s="9" t="s">
        <v>696</v>
      </c>
      <c r="B51" s="12"/>
      <c r="C51" s="17">
        <f>Aerodynamics!$I$7+Aerodynamics!$I$9*C50^2</f>
        <v>1.3914279478188714E-2</v>
      </c>
      <c r="D51" s="17">
        <f>Aerodynamics!$I$7+Aerodynamics!$I$9*D50^2</f>
        <v>1.4411638675350887E-2</v>
      </c>
      <c r="E51" s="17">
        <f>Aerodynamics!$I$7+Aerodynamics!$I$9*E50^2</f>
        <v>1.5903716266837405E-2</v>
      </c>
      <c r="F51" s="17">
        <f>Aerodynamics!$I$7+Aerodynamics!$I$9*F50^2</f>
        <v>1.8390512252648272E-2</v>
      </c>
      <c r="G51" s="17">
        <f>Aerodynamics!$I$7+Aerodynamics!$I$9*G50^2</f>
        <v>2.1872026632783481E-2</v>
      </c>
      <c r="H51" s="17">
        <f>Aerodynamics!$I$7+Aerodynamics!$I$9*H50^2</f>
        <v>2.6348259407243037E-2</v>
      </c>
      <c r="I51" s="17">
        <f>Aerodynamics!$I$7+Aerodynamics!$I$9*I50^2</f>
        <v>3.1819210576026942E-2</v>
      </c>
      <c r="J51" s="17">
        <f>Aerodynamics!$I$7+Aerodynamics!$I$9*J50^2</f>
        <v>3.828488013913519E-2</v>
      </c>
      <c r="K51" s="17">
        <f>Aerodynamics!$I$7+Aerodynamics!$I$9*K50^2</f>
        <v>4.574526809656778E-2</v>
      </c>
      <c r="L51" s="17">
        <f>Aerodynamics!$I$7+Aerodynamics!$I$9*L50^2</f>
        <v>5.4200374448324713E-2</v>
      </c>
      <c r="M51" s="17">
        <f>Aerodynamics!$I$7+Aerodynamics!$I$9*M50^2</f>
        <v>6.3650199194405996E-2</v>
      </c>
      <c r="N51" s="17">
        <f>Aerodynamics!$I$7+Aerodynamics!$I$9*N50^2</f>
        <v>7.4094742334811628E-2</v>
      </c>
      <c r="O51" s="17">
        <f>Aerodynamics!$I$7+Aerodynamics!$I$9*O50^2</f>
        <v>8.5534003869541617E-2</v>
      </c>
      <c r="P51" s="17">
        <f>Aerodynamics!$I$7+Aerodynamics!$I$9*P50^2</f>
        <v>9.7967983798595948E-2</v>
      </c>
      <c r="Q51" s="17">
        <f>Aerodynamics!$I$7+Aerodynamics!$I$9*Q50^2</f>
        <v>0.11139668212197464</v>
      </c>
      <c r="R51" s="17">
        <f>Aerodynamics!$I$7+Aerodynamics!$I$9*R50^2</f>
        <v>0.12582009883967768</v>
      </c>
      <c r="S51" s="17">
        <f>Aerodynamics!$I$7+Aerodynamics!$I$9*S50^2</f>
        <v>0.14123823395170504</v>
      </c>
      <c r="T51" s="58"/>
      <c r="U51" s="58"/>
      <c r="V51" s="58"/>
      <c r="W51" s="58"/>
      <c r="X51" s="58"/>
      <c r="Y51" s="58"/>
      <c r="Z51" s="58"/>
      <c r="AA51" s="58"/>
      <c r="AB51" s="58"/>
      <c r="AC51" s="58"/>
      <c r="AD51" s="58"/>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row>
    <row r="52" spans="1:94" ht="12.75" x14ac:dyDescent="0.2">
      <c r="A52" s="9" t="s">
        <v>697</v>
      </c>
      <c r="B52" s="12"/>
      <c r="C52" s="17">
        <f>Aerodynamics!$C$12+Aerodynamics!$C$13*C50^2</f>
        <v>0.04</v>
      </c>
      <c r="D52" s="17">
        <f>Aerodynamics!$C$12+Aerodynamics!$C$13*D50^2</f>
        <v>4.3750000000000004E-2</v>
      </c>
      <c r="E52" s="17">
        <f>Aerodynamics!$C$12+Aerodynamics!$C$13*E50^2</f>
        <v>5.5000000000000007E-2</v>
      </c>
      <c r="F52" s="17">
        <f>Aerodynamics!$C$12+Aerodynamics!$C$13*F50^2</f>
        <v>7.375000000000001E-2</v>
      </c>
      <c r="G52" s="17">
        <f>Aerodynamics!$C$12+Aerodynamics!$C$13*G50^2</f>
        <v>0.1</v>
      </c>
      <c r="H52" s="17">
        <f>Aerodynamics!$C$12+Aerodynamics!$C$13*H50^2</f>
        <v>0.13375000000000001</v>
      </c>
      <c r="I52" s="17">
        <f>Aerodynamics!$C$12+Aerodynamics!$C$13*I50^2</f>
        <v>0.17500000000000002</v>
      </c>
      <c r="J52" s="17">
        <f>Aerodynamics!$C$12+Aerodynamics!$C$13*J50^2</f>
        <v>0.22374999999999998</v>
      </c>
      <c r="K52" s="17">
        <f>Aerodynamics!$C$12+Aerodynamics!$C$13*K50^2</f>
        <v>0.27999999999999997</v>
      </c>
      <c r="L52" s="17">
        <f>Aerodynamics!$C$12+Aerodynamics!$C$13*L50^2</f>
        <v>0.34374999999999994</v>
      </c>
      <c r="M52" s="17">
        <f>Aerodynamics!$C$12+Aerodynamics!$C$13*M50^2</f>
        <v>0.41499999999999987</v>
      </c>
      <c r="N52" s="17">
        <f>Aerodynamics!$C$12+Aerodynamics!$C$13*N50^2</f>
        <v>0.49374999999999986</v>
      </c>
      <c r="O52" s="17">
        <f>Aerodynamics!$C$12+Aerodynamics!$C$13*O50^2</f>
        <v>0.58000000000000007</v>
      </c>
      <c r="P52" s="17">
        <f>Aerodynamics!$C$12+Aerodynamics!$C$13*P50^2</f>
        <v>0.67375000000000007</v>
      </c>
      <c r="Q52" s="17">
        <f>Aerodynamics!$C$12+Aerodynamics!$C$13*Q50^2</f>
        <v>0.77500000000000013</v>
      </c>
      <c r="R52" s="17">
        <f>Aerodynamics!$C$12+Aerodynamics!$C$13*R50^2</f>
        <v>0.88375000000000037</v>
      </c>
      <c r="S52" s="17">
        <f>Aerodynamics!$C$12+Aerodynamics!$C$13*S50^2</f>
        <v>1.0000000000000004</v>
      </c>
      <c r="T52" s="58"/>
      <c r="U52" s="58"/>
      <c r="V52" s="58"/>
      <c r="W52" s="58"/>
      <c r="X52" s="58"/>
      <c r="Y52" s="58"/>
      <c r="Z52" s="58"/>
      <c r="AA52" s="58"/>
      <c r="AB52" s="58"/>
      <c r="AC52" s="58"/>
      <c r="AD52" s="58"/>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row>
    <row r="53" spans="1:94" ht="12.75" x14ac:dyDescent="0.2">
      <c r="A53" s="12"/>
      <c r="B53" s="12"/>
      <c r="C53" s="12"/>
      <c r="D53" s="12"/>
      <c r="E53" s="12"/>
      <c r="F53" s="12"/>
      <c r="G53" s="12"/>
      <c r="H53" s="12"/>
      <c r="I53" s="12"/>
      <c r="J53" s="12"/>
      <c r="K53" s="12"/>
      <c r="L53" s="12"/>
      <c r="M53" s="12"/>
      <c r="N53" s="12"/>
      <c r="O53" s="12"/>
      <c r="P53" s="12"/>
      <c r="Q53" s="12"/>
      <c r="R53" s="12"/>
      <c r="S53" s="12"/>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row>
    <row r="54" spans="1:94" ht="12.75" x14ac:dyDescent="0.2">
      <c r="A54" s="9" t="s">
        <v>698</v>
      </c>
      <c r="B54" s="9" t="s">
        <v>469</v>
      </c>
      <c r="C54" s="14">
        <v>0</v>
      </c>
      <c r="D54" s="14">
        <f t="shared" ref="D54:AI54" si="3">C54+0.001</f>
        <v>1E-3</v>
      </c>
      <c r="E54" s="14">
        <f t="shared" si="3"/>
        <v>2E-3</v>
      </c>
      <c r="F54" s="14">
        <f t="shared" si="3"/>
        <v>3.0000000000000001E-3</v>
      </c>
      <c r="G54" s="14">
        <f t="shared" si="3"/>
        <v>4.0000000000000001E-3</v>
      </c>
      <c r="H54" s="14">
        <f t="shared" si="3"/>
        <v>5.0000000000000001E-3</v>
      </c>
      <c r="I54" s="14">
        <f t="shared" si="3"/>
        <v>6.0000000000000001E-3</v>
      </c>
      <c r="J54" s="14">
        <f t="shared" si="3"/>
        <v>7.0000000000000001E-3</v>
      </c>
      <c r="K54" s="14">
        <f t="shared" si="3"/>
        <v>8.0000000000000002E-3</v>
      </c>
      <c r="L54" s="14">
        <f t="shared" si="3"/>
        <v>9.0000000000000011E-3</v>
      </c>
      <c r="M54" s="14">
        <f t="shared" si="3"/>
        <v>1.0000000000000002E-2</v>
      </c>
      <c r="N54" s="14">
        <f t="shared" si="3"/>
        <v>1.1000000000000003E-2</v>
      </c>
      <c r="O54" s="14">
        <f t="shared" si="3"/>
        <v>1.2000000000000004E-2</v>
      </c>
      <c r="P54" s="14">
        <f t="shared" si="3"/>
        <v>1.3000000000000005E-2</v>
      </c>
      <c r="Q54" s="14">
        <f t="shared" si="3"/>
        <v>1.4000000000000005E-2</v>
      </c>
      <c r="R54" s="14">
        <f t="shared" si="3"/>
        <v>1.5000000000000006E-2</v>
      </c>
      <c r="S54" s="14">
        <f t="shared" si="3"/>
        <v>1.6000000000000007E-2</v>
      </c>
      <c r="T54" s="11">
        <f t="shared" si="3"/>
        <v>1.7000000000000008E-2</v>
      </c>
      <c r="U54" s="11">
        <f t="shared" si="3"/>
        <v>1.8000000000000009E-2</v>
      </c>
      <c r="V54" s="11">
        <f t="shared" si="3"/>
        <v>1.900000000000001E-2</v>
      </c>
      <c r="W54" s="11">
        <f t="shared" si="3"/>
        <v>2.0000000000000011E-2</v>
      </c>
      <c r="X54" s="11">
        <f t="shared" si="3"/>
        <v>2.1000000000000012E-2</v>
      </c>
      <c r="Y54" s="11">
        <f t="shared" si="3"/>
        <v>2.2000000000000013E-2</v>
      </c>
      <c r="Z54" s="11">
        <f t="shared" si="3"/>
        <v>2.3000000000000013E-2</v>
      </c>
      <c r="AA54" s="11">
        <f t="shared" si="3"/>
        <v>2.4000000000000014E-2</v>
      </c>
      <c r="AB54" s="11">
        <f t="shared" si="3"/>
        <v>2.5000000000000015E-2</v>
      </c>
      <c r="AC54" s="11">
        <f t="shared" si="3"/>
        <v>2.6000000000000016E-2</v>
      </c>
      <c r="AD54" s="11">
        <f t="shared" si="3"/>
        <v>2.7000000000000017E-2</v>
      </c>
      <c r="AE54" s="11">
        <f t="shared" si="3"/>
        <v>2.8000000000000018E-2</v>
      </c>
      <c r="AF54" s="11">
        <f t="shared" si="3"/>
        <v>2.9000000000000019E-2</v>
      </c>
      <c r="AG54" s="11">
        <f t="shared" si="3"/>
        <v>3.000000000000002E-2</v>
      </c>
      <c r="AH54" s="11">
        <f t="shared" si="3"/>
        <v>3.1000000000000021E-2</v>
      </c>
      <c r="AI54" s="11">
        <f t="shared" si="3"/>
        <v>3.2000000000000021E-2</v>
      </c>
      <c r="AJ54" s="11">
        <f t="shared" ref="AJ54:BO54" si="4">AI54+0.001</f>
        <v>3.3000000000000022E-2</v>
      </c>
      <c r="AK54" s="11">
        <f t="shared" si="4"/>
        <v>3.4000000000000023E-2</v>
      </c>
      <c r="AL54" s="11">
        <f t="shared" si="4"/>
        <v>3.5000000000000024E-2</v>
      </c>
      <c r="AM54" s="11">
        <f t="shared" si="4"/>
        <v>3.6000000000000025E-2</v>
      </c>
      <c r="AN54" s="11">
        <f t="shared" si="4"/>
        <v>3.7000000000000026E-2</v>
      </c>
      <c r="AO54" s="11">
        <f t="shared" si="4"/>
        <v>3.8000000000000027E-2</v>
      </c>
      <c r="AP54" s="11">
        <f t="shared" si="4"/>
        <v>3.9000000000000028E-2</v>
      </c>
      <c r="AQ54" s="11">
        <f t="shared" si="4"/>
        <v>4.0000000000000029E-2</v>
      </c>
      <c r="AR54" s="11">
        <f t="shared" si="4"/>
        <v>4.1000000000000029E-2</v>
      </c>
      <c r="AS54" s="11">
        <f t="shared" si="4"/>
        <v>4.200000000000003E-2</v>
      </c>
      <c r="AT54" s="11">
        <f t="shared" si="4"/>
        <v>4.3000000000000031E-2</v>
      </c>
      <c r="AU54" s="11">
        <f t="shared" si="4"/>
        <v>4.4000000000000032E-2</v>
      </c>
      <c r="AV54" s="11">
        <f t="shared" si="4"/>
        <v>4.5000000000000033E-2</v>
      </c>
      <c r="AW54" s="11">
        <f t="shared" si="4"/>
        <v>4.6000000000000034E-2</v>
      </c>
      <c r="AX54" s="11">
        <f t="shared" si="4"/>
        <v>4.7000000000000035E-2</v>
      </c>
      <c r="AY54" s="11">
        <f t="shared" si="4"/>
        <v>4.8000000000000036E-2</v>
      </c>
      <c r="AZ54" s="11">
        <f t="shared" si="4"/>
        <v>4.9000000000000037E-2</v>
      </c>
      <c r="BA54" s="11">
        <f t="shared" si="4"/>
        <v>5.0000000000000037E-2</v>
      </c>
      <c r="BB54" s="11">
        <f t="shared" si="4"/>
        <v>5.1000000000000038E-2</v>
      </c>
      <c r="BC54" s="11">
        <f t="shared" si="4"/>
        <v>5.2000000000000039E-2</v>
      </c>
      <c r="BD54" s="11">
        <f t="shared" si="4"/>
        <v>5.300000000000004E-2</v>
      </c>
      <c r="BE54" s="11">
        <f t="shared" si="4"/>
        <v>5.4000000000000041E-2</v>
      </c>
      <c r="BF54" s="11">
        <f t="shared" si="4"/>
        <v>5.5000000000000042E-2</v>
      </c>
      <c r="BG54" s="11">
        <f t="shared" si="4"/>
        <v>5.6000000000000043E-2</v>
      </c>
      <c r="BH54" s="11">
        <f t="shared" si="4"/>
        <v>5.7000000000000044E-2</v>
      </c>
      <c r="BI54" s="11">
        <f t="shared" si="4"/>
        <v>5.8000000000000045E-2</v>
      </c>
      <c r="BJ54" s="11">
        <f t="shared" si="4"/>
        <v>5.9000000000000045E-2</v>
      </c>
      <c r="BK54" s="11">
        <f t="shared" si="4"/>
        <v>6.0000000000000046E-2</v>
      </c>
      <c r="BL54" s="11">
        <f t="shared" si="4"/>
        <v>6.1000000000000047E-2</v>
      </c>
      <c r="BM54" s="11">
        <f t="shared" si="4"/>
        <v>6.2000000000000048E-2</v>
      </c>
      <c r="BN54" s="11">
        <f t="shared" si="4"/>
        <v>6.3000000000000042E-2</v>
      </c>
      <c r="BO54" s="11">
        <f t="shared" si="4"/>
        <v>6.4000000000000043E-2</v>
      </c>
      <c r="BP54" s="11">
        <f t="shared" ref="BP54:CO54" si="5">BO54+0.001</f>
        <v>6.5000000000000044E-2</v>
      </c>
      <c r="BQ54" s="11">
        <f t="shared" si="5"/>
        <v>6.6000000000000045E-2</v>
      </c>
      <c r="BR54" s="11">
        <f t="shared" si="5"/>
        <v>6.7000000000000046E-2</v>
      </c>
      <c r="BS54" s="11">
        <f t="shared" si="5"/>
        <v>6.8000000000000047E-2</v>
      </c>
      <c r="BT54" s="11">
        <f t="shared" si="5"/>
        <v>6.9000000000000047E-2</v>
      </c>
      <c r="BU54" s="11">
        <f t="shared" si="5"/>
        <v>7.0000000000000048E-2</v>
      </c>
      <c r="BV54" s="11">
        <f t="shared" si="5"/>
        <v>7.1000000000000049E-2</v>
      </c>
      <c r="BW54" s="11">
        <f t="shared" si="5"/>
        <v>7.200000000000005E-2</v>
      </c>
      <c r="BX54" s="11">
        <f t="shared" si="5"/>
        <v>7.3000000000000051E-2</v>
      </c>
      <c r="BY54" s="11">
        <f t="shared" si="5"/>
        <v>7.4000000000000052E-2</v>
      </c>
      <c r="BZ54" s="11">
        <f t="shared" si="5"/>
        <v>7.5000000000000053E-2</v>
      </c>
      <c r="CA54" s="11">
        <f t="shared" si="5"/>
        <v>7.6000000000000054E-2</v>
      </c>
      <c r="CB54" s="11">
        <f t="shared" si="5"/>
        <v>7.7000000000000055E-2</v>
      </c>
      <c r="CC54" s="11">
        <f t="shared" si="5"/>
        <v>7.8000000000000055E-2</v>
      </c>
      <c r="CD54" s="11">
        <f t="shared" si="5"/>
        <v>7.9000000000000056E-2</v>
      </c>
      <c r="CE54" s="11">
        <f t="shared" si="5"/>
        <v>8.0000000000000057E-2</v>
      </c>
      <c r="CF54" s="11">
        <f t="shared" si="5"/>
        <v>8.1000000000000058E-2</v>
      </c>
      <c r="CG54" s="11">
        <f t="shared" si="5"/>
        <v>8.2000000000000059E-2</v>
      </c>
      <c r="CH54" s="11">
        <f t="shared" si="5"/>
        <v>8.300000000000006E-2</v>
      </c>
      <c r="CI54" s="11">
        <f t="shared" si="5"/>
        <v>8.4000000000000061E-2</v>
      </c>
      <c r="CJ54" s="11">
        <f t="shared" si="5"/>
        <v>8.5000000000000062E-2</v>
      </c>
      <c r="CK54" s="11">
        <f t="shared" si="5"/>
        <v>8.6000000000000063E-2</v>
      </c>
      <c r="CL54" s="11">
        <f t="shared" si="5"/>
        <v>8.7000000000000063E-2</v>
      </c>
      <c r="CM54" s="11">
        <f t="shared" si="5"/>
        <v>8.8000000000000064E-2</v>
      </c>
      <c r="CN54" s="11">
        <f t="shared" si="5"/>
        <v>8.9000000000000065E-2</v>
      </c>
      <c r="CO54" s="11">
        <f t="shared" si="5"/>
        <v>9.0000000000000066E-2</v>
      </c>
      <c r="CP54" s="4"/>
    </row>
    <row r="55" spans="1:94" ht="12.75" x14ac:dyDescent="0.2">
      <c r="A55" s="9" t="s">
        <v>699</v>
      </c>
      <c r="B55" s="12"/>
      <c r="C55" s="14">
        <f>IF(C54&lt;Aerodynamics!$I$7,0,SQRT(ABS(C54-Aerodynamics!$I$7)/Aerodynamics!$I$9))</f>
        <v>0</v>
      </c>
      <c r="D55" s="14">
        <f>IF(D54&lt;Aerodynamics!$I$7,0,SQRT(ABS(D54-Aerodynamics!$I$7)/Aerodynamics!$I$9))</f>
        <v>0</v>
      </c>
      <c r="E55" s="14">
        <f>IF(E54&lt;Aerodynamics!$I$7,0,SQRT(ABS(E54-Aerodynamics!$I$7)/Aerodynamics!$I$9))</f>
        <v>0</v>
      </c>
      <c r="F55" s="14">
        <f>IF(F54&lt;Aerodynamics!$I$7,0,SQRT(ABS(F54-Aerodynamics!$I$7)/Aerodynamics!$I$9))</f>
        <v>0</v>
      </c>
      <c r="G55" s="14">
        <f>IF(G54&lt;Aerodynamics!$I$7,0,SQRT(ABS(G54-Aerodynamics!$I$7)/Aerodynamics!$I$9))</f>
        <v>0</v>
      </c>
      <c r="H55" s="14">
        <f>IF(H54&lt;Aerodynamics!$I$7,0,SQRT(ABS(H54-Aerodynamics!$I$7)/Aerodynamics!$I$9))</f>
        <v>0</v>
      </c>
      <c r="I55" s="14">
        <f>IF(I54&lt;Aerodynamics!$I$7,0,SQRT(ABS(I54-Aerodynamics!$I$7)/Aerodynamics!$I$9))</f>
        <v>0</v>
      </c>
      <c r="J55" s="14">
        <f>IF(J54&lt;Aerodynamics!$I$7,0,SQRT(ABS(J54-Aerodynamics!$I$7)/Aerodynamics!$I$9))</f>
        <v>0</v>
      </c>
      <c r="K55" s="14">
        <f>IF(K54&lt;Aerodynamics!$I$7,0,SQRT(ABS(K54-Aerodynamics!$I$7)/Aerodynamics!$I$9))</f>
        <v>0</v>
      </c>
      <c r="L55" s="14">
        <f>IF(L54&lt;Aerodynamics!$I$7,0,SQRT(ABS(L54-Aerodynamics!$I$7)/Aerodynamics!$I$9))</f>
        <v>0</v>
      </c>
      <c r="M55" s="14">
        <f>IF(M54&lt;Aerodynamics!$I$7,0,SQRT(ABS(M54-Aerodynamics!$I$7)/Aerodynamics!$I$9))</f>
        <v>0</v>
      </c>
      <c r="N55" s="14">
        <f>IF(N54&lt;Aerodynamics!$I$7,0,SQRT(ABS(N54-Aerodynamics!$I$7)/Aerodynamics!$I$9))</f>
        <v>0</v>
      </c>
      <c r="O55" s="14">
        <f>IF(O54&lt;Aerodynamics!$I$7,0,SQRT(ABS(O54-Aerodynamics!$I$7)/Aerodynamics!$I$9))</f>
        <v>0</v>
      </c>
      <c r="P55" s="14">
        <f>IF(P54&lt;Aerodynamics!$I$7,0,SQRT(ABS(P54-Aerodynamics!$I$7)/Aerodynamics!$I$9))</f>
        <v>0</v>
      </c>
      <c r="Q55" s="14">
        <f>IF(Q54&lt;Aerodynamics!$I$7,0,SQRT(ABS(Q54-Aerodynamics!$I$7)/Aerodynamics!$I$9))</f>
        <v>2.0757609171934473E-2</v>
      </c>
      <c r="R55" s="14">
        <f>IF(R54&lt;Aerodynamics!$I$7,0,SQRT(ABS(R54-Aerodynamics!$I$7)/Aerodynamics!$I$9))</f>
        <v>7.3874397353064419E-2</v>
      </c>
      <c r="S55" s="14">
        <f>IF(S54&lt;Aerodynamics!$I$7,0,SQRT(ABS(S54-Aerodynamics!$I$7)/Aerodynamics!$I$9))</f>
        <v>0.10239128297868977</v>
      </c>
      <c r="T55" s="11">
        <f>IF(T54&lt;Aerodynamics!$I$7,0,SQRT(ABS(T54-Aerodynamics!$I$7)/Aerodynamics!$I$9))</f>
        <v>0.12454125049864322</v>
      </c>
      <c r="U55" s="11">
        <f>IF(U54&lt;Aerodynamics!$I$7,0,SQRT(ABS(U54-Aerodynamics!$I$7)/Aerodynamics!$I$9))</f>
        <v>0.14330761082897681</v>
      </c>
      <c r="V55" s="11">
        <f>IF(V54&lt;Aerodynamics!$I$7,0,SQRT(ABS(V54-Aerodynamics!$I$7)/Aerodynamics!$I$9))</f>
        <v>0.1598862707278306</v>
      </c>
      <c r="W55" s="11">
        <f>IF(W54&lt;Aerodynamics!$I$7,0,SQRT(ABS(W54-Aerodynamics!$I$7)/Aerodynamics!$I$9))</f>
        <v>0.17490045115149594</v>
      </c>
      <c r="X55" s="11">
        <f>IF(X54&lt;Aerodynamics!$I$7,0,SQRT(ABS(X54-Aerodynamics!$I$7)/Aerodynamics!$I$9))</f>
        <v>0.18872391490942661</v>
      </c>
      <c r="Y55" s="11">
        <f>IF(Y54&lt;Aerodynamics!$I$7,0,SQRT(ABS(Y54-Aerodynamics!$I$7)/Aerodynamics!$I$9))</f>
        <v>0.20160174677934753</v>
      </c>
      <c r="Z55" s="11">
        <f>IF(Z54&lt;Aerodynamics!$I$7,0,SQRT(ABS(Z54-Aerodynamics!$I$7)/Aerodynamics!$I$9))</f>
        <v>0.21370496613375142</v>
      </c>
      <c r="AA55" s="11">
        <f>IF(AA54&lt;Aerodynamics!$I$7,0,SQRT(ABS(AA54-Aerodynamics!$I$7)/Aerodynamics!$I$9))</f>
        <v>0.22515852370268266</v>
      </c>
      <c r="AB55" s="11">
        <f>IF(AB54&lt;Aerodynamics!$I$7,0,SQRT(ABS(AB54-Aerodynamics!$I$7)/Aerodynamics!$I$9))</f>
        <v>0.23605700379720823</v>
      </c>
      <c r="AC55" s="11">
        <f>IF(AC54&lt;Aerodynamics!$I$7,0,SQRT(ABS(AC54-Aerodynamics!$I$7)/Aerodynamics!$I$9))</f>
        <v>0.24647404992708433</v>
      </c>
      <c r="AD55" s="11">
        <f>IF(AD54&lt;Aerodynamics!$I$7,0,SQRT(ABS(AD54-Aerodynamics!$I$7)/Aerodynamics!$I$9))</f>
        <v>0.25646833241786893</v>
      </c>
      <c r="AE55" s="11">
        <f>IF(AE54&lt;Aerodynamics!$I$7,0,SQRT(ABS(AE54-Aerodynamics!$I$7)/Aerodynamics!$I$9))</f>
        <v>0.26608749271423149</v>
      </c>
      <c r="AF55" s="11">
        <f>IF(AF54&lt;Aerodynamics!$I$7,0,SQRT(ABS(AF54-Aerodynamics!$I$7)/Aerodynamics!$I$9))</f>
        <v>0.2753708445436624</v>
      </c>
      <c r="AG55" s="11">
        <f>IF(AG54&lt;Aerodynamics!$I$7,0,SQRT(ABS(AG54-Aerodynamics!$I$7)/Aerodynamics!$I$9))</f>
        <v>0.28435127970598895</v>
      </c>
      <c r="AH55" s="11">
        <f>IF(AH54&lt;Aerodynamics!$I$7,0,SQRT(ABS(AH54-Aerodynamics!$I$7)/Aerodynamics!$I$9))</f>
        <v>0.29305664728201819</v>
      </c>
      <c r="AI55" s="11">
        <f>IF(AI54&lt;Aerodynamics!$I$7,0,SQRT(ABS(AI54-Aerodynamics!$I$7)/Aerodynamics!$I$9))</f>
        <v>0.30151077387370573</v>
      </c>
      <c r="AJ55" s="11">
        <f>IF(AJ54&lt;Aerodynamics!$I$7,0,SQRT(ABS(AJ54-Aerodynamics!$I$7)/Aerodynamics!$I$9))</f>
        <v>0.30973423286369972</v>
      </c>
      <c r="AK55" s="11">
        <f>IF(AK54&lt;Aerodynamics!$I$7,0,SQRT(ABS(AK54-Aerodynamics!$I$7)/Aerodynamics!$I$9))</f>
        <v>0.31774493426868072</v>
      </c>
      <c r="AL55" s="11">
        <f>IF(AL54&lt;Aerodynamics!$I$7,0,SQRT(ABS(AL54-Aerodynamics!$I$7)/Aerodynamics!$I$9))</f>
        <v>0.32555858382041153</v>
      </c>
      <c r="AM55" s="11">
        <f>IF(AM54&lt;Aerodynamics!$I$7,0,SQRT(ABS(AM54-Aerodynamics!$I$7)/Aerodynamics!$I$9))</f>
        <v>0.3331890450553493</v>
      </c>
      <c r="AN55" s="11">
        <f>IF(AN54&lt;Aerodynamics!$I$7,0,SQRT(ABS(AN54-Aerodynamics!$I$7)/Aerodynamics!$I$9))</f>
        <v>0.34064862834105064</v>
      </c>
      <c r="AO55" s="11">
        <f>IF(AO54&lt;Aerodynamics!$I$7,0,SQRT(ABS(AO54-Aerodynamics!$I$7)/Aerodynamics!$I$9))</f>
        <v>0.34794832408905629</v>
      </c>
      <c r="AP55" s="11">
        <f>IF(AP54&lt;Aerodynamics!$I$7,0,SQRT(ABS(AP54-Aerodynamics!$I$7)/Aerodynamics!$I$9))</f>
        <v>0.35509799278808468</v>
      </c>
      <c r="AQ55" s="11">
        <f>IF(AQ54&lt;Aerodynamics!$I$7,0,SQRT(ABS(AQ54-Aerodynamics!$I$7)/Aerodynamics!$I$9))</f>
        <v>0.36210652124460602</v>
      </c>
      <c r="AR55" s="11">
        <f>IF(AR54&lt;Aerodynamics!$I$7,0,SQRT(ABS(AR54-Aerodynamics!$I$7)/Aerodynamics!$I$9))</f>
        <v>0.36898195209740808</v>
      </c>
      <c r="AS55" s="11">
        <f>IF(AS54&lt;Aerodynamics!$I$7,0,SQRT(ABS(AS54-Aerodynamics!$I$7)/Aerodynamics!$I$9))</f>
        <v>0.37573159199002371</v>
      </c>
      <c r="AT55" s="11">
        <f>IF(AT54&lt;Aerodynamics!$I$7,0,SQRT(ABS(AT54-Aerodynamics!$I$7)/Aerodynamics!$I$9))</f>
        <v>0.38236210254822756</v>
      </c>
      <c r="AU55" s="11">
        <f>IF(AU54&lt;Aerodynamics!$I$7,0,SQRT(ABS(AU54-Aerodynamics!$I$7)/Aerodynamics!$I$9))</f>
        <v>0.38887957738976853</v>
      </c>
      <c r="AV55" s="11">
        <f>IF(AV54&lt;Aerodynamics!$I$7,0,SQRT(ABS(AV54-Aerodynamics!$I$7)/Aerodynamics!$I$9))</f>
        <v>0.3952896077012254</v>
      </c>
      <c r="AW55" s="11">
        <f>IF(AW54&lt;Aerodynamics!$I$7,0,SQRT(ABS(AW54-Aerodynamics!$I$7)/Aerodynamics!$I$9))</f>
        <v>0.40159733839049822</v>
      </c>
      <c r="AX55" s="11">
        <f>IF(AX54&lt;Aerodynamics!$I$7,0,SQRT(ABS(AX54-Aerodynamics!$I$7)/Aerodynamics!$I$9))</f>
        <v>0.40780751641929797</v>
      </c>
      <c r="AY55" s="11">
        <f>IF(AY54&lt;Aerodynamics!$I$7,0,SQRT(ABS(AY54-Aerodynamics!$I$7)/Aerodynamics!$I$9))</f>
        <v>0.41392453260687473</v>
      </c>
      <c r="AZ55" s="11">
        <f>IF(AZ54&lt;Aerodynamics!$I$7,0,SQRT(ABS(AZ54-Aerodynamics!$I$7)/Aerodynamics!$I$9))</f>
        <v>0.41995245795156783</v>
      </c>
      <c r="BA55" s="11">
        <f>IF(BA54&lt;Aerodynamics!$I$7,0,SQRT(ABS(BA54-Aerodynamics!$I$7)/Aerodynamics!$I$9))</f>
        <v>0.42589507532408383</v>
      </c>
      <c r="BB55" s="11">
        <f>IF(BB54&lt;Aerodynamics!$I$7,0,SQRT(ABS(BB54-Aerodynamics!$I$7)/Aerodynamics!$I$9))</f>
        <v>0.43175590723353247</v>
      </c>
      <c r="BC55" s="11">
        <f>IF(BC54&lt;Aerodynamics!$I$7,0,SQRT(ABS(BC54-Aerodynamics!$I$7)/Aerodynamics!$I$9))</f>
        <v>0.43753824024511773</v>
      </c>
      <c r="BD55" s="11">
        <f>IF(BD54&lt;Aerodynamics!$I$7,0,SQRT(ABS(BD54-Aerodynamics!$I$7)/Aerodynamics!$I$9))</f>
        <v>0.4432451465301544</v>
      </c>
      <c r="BE55" s="11">
        <f>IF(BE54&lt;Aerodynamics!$I$7,0,SQRT(ABS(BE54-Aerodynamics!$I$7)/Aerodynamics!$I$9))</f>
        <v>0.44887950294960194</v>
      </c>
      <c r="BF55" s="11">
        <f>IF(BF54&lt;Aerodynamics!$I$7,0,SQRT(ABS(BF54-Aerodynamics!$I$7)/Aerodynamics!$I$9))</f>
        <v>0.45444400800761514</v>
      </c>
      <c r="BG55" s="11">
        <f>IF(BG54&lt;Aerodynamics!$I$7,0,SQRT(ABS(BG54-Aerodynamics!$I$7)/Aerodynamics!$I$9))</f>
        <v>0.45994119695866453</v>
      </c>
      <c r="BH55" s="11">
        <f>IF(BH54&lt;Aerodynamics!$I$7,0,SQRT(ABS(BH54-Aerodynamics!$I$7)/Aerodynamics!$I$9))</f>
        <v>0.46537345530822094</v>
      </c>
      <c r="BI55" s="11">
        <f>IF(BI54&lt;Aerodynamics!$I$7,0,SQRT(ABS(BI54-Aerodynamics!$I$7)/Aerodynamics!$I$9))</f>
        <v>0.47074303091098058</v>
      </c>
      <c r="BJ55" s="11">
        <f>IF(BJ54&lt;Aerodynamics!$I$7,0,SQRT(ABS(BJ54-Aerodynamics!$I$7)/Aerodynamics!$I$9))</f>
        <v>0.47605204484068764</v>
      </c>
      <c r="BK55" s="11">
        <f>IF(BK54&lt;Aerodynamics!$I$7,0,SQRT(ABS(BK54-Aerodynamics!$I$7)/Aerodynamics!$I$9))</f>
        <v>0.48130250118064394</v>
      </c>
      <c r="BL55" s="11">
        <f>IF(BL54&lt;Aerodynamics!$I$7,0,SQRT(ABS(BL54-Aerodynamics!$I$7)/Aerodynamics!$I$9))</f>
        <v>0.48649629586306964</v>
      </c>
      <c r="BM55" s="11">
        <f>IF(BM54&lt;Aerodynamics!$I$7,0,SQRT(ABS(BM54-Aerodynamics!$I$7)/Aerodynamics!$I$9))</f>
        <v>0.49163522466787418</v>
      </c>
      <c r="BN55" s="11">
        <f>IF(BN54&lt;Aerodynamics!$I$7,0,SQRT(ABS(BN54-Aerodynamics!$I$7)/Aerodynamics!$I$9))</f>
        <v>0.49672099047651969</v>
      </c>
      <c r="BO55" s="11">
        <f>IF(BO54&lt;Aerodynamics!$I$7,0,SQRT(ABS(BO54-Aerodynamics!$I$7)/Aerodynamics!$I$9))</f>
        <v>0.50175520986405153</v>
      </c>
      <c r="BP55" s="11">
        <f>IF(BP54&lt;Aerodynamics!$I$7,0,SQRT(ABS(BP54-Aerodynamics!$I$7)/Aerodynamics!$I$9))</f>
        <v>0.50673941910163456</v>
      </c>
      <c r="BQ55" s="11">
        <f>IF(BQ54&lt;Aerodynamics!$I$7,0,SQRT(ABS(BQ54-Aerodynamics!$I$7)/Aerodynamics!$I$9))</f>
        <v>0.51167507963277414</v>
      </c>
      <c r="BR55" s="11">
        <f>IF(BR54&lt;Aerodynamics!$I$7,0,SQRT(ABS(BR54-Aerodynamics!$I$7)/Aerodynamics!$I$9))</f>
        <v>0.51656358307854944</v>
      </c>
      <c r="BS55" s="11">
        <f>IF(BS54&lt;Aerodynamics!$I$7,0,SQRT(ABS(BS54-Aerodynamics!$I$7)/Aerodynamics!$I$9))</f>
        <v>0.52140625582044287</v>
      </c>
      <c r="BT55" s="11">
        <f>IF(BT54&lt;Aerodynamics!$I$7,0,SQRT(ABS(BT54-Aerodynamics!$I$7)/Aerodynamics!$I$9))</f>
        <v>0.52620436320353403</v>
      </c>
      <c r="BU55" s="11">
        <f>IF(BU54&lt;Aerodynamics!$I$7,0,SQRT(ABS(BU54-Aerodynamics!$I$7)/Aerodynamics!$I$9))</f>
        <v>0.53095911339780244</v>
      </c>
      <c r="BV55" s="11">
        <f>IF(BV54&lt;Aerodynamics!$I$7,0,SQRT(ABS(BV54-Aerodynamics!$I$7)/Aerodynamics!$I$9))</f>
        <v>0.53567166095092633</v>
      </c>
      <c r="BW55" s="11">
        <f>IF(BW54&lt;Aerodynamics!$I$7,0,SQRT(ABS(BW54-Aerodynamics!$I$7)/Aerodynamics!$I$9))</f>
        <v>0.54034311006217872</v>
      </c>
      <c r="BX55" s="11">
        <f>IF(BX54&lt;Aerodynamics!$I$7,0,SQRT(ABS(BX54-Aerodynamics!$I$7)/Aerodynamics!$I$9))</f>
        <v>0.54497451760372384</v>
      </c>
      <c r="BY55" s="11">
        <f>IF(BY54&lt;Aerodynamics!$I$7,0,SQRT(ABS(BY54-Aerodynamics!$I$7)/Aerodynamics!$I$9))</f>
        <v>0.54956689591273156</v>
      </c>
      <c r="BZ55" s="11">
        <f>IF(BZ54&lt;Aerodynamics!$I$7,0,SQRT(ABS(BZ54-Aerodynamics!$I$7)/Aerodynamics!$I$9))</f>
        <v>0.55412121537520909</v>
      </c>
      <c r="CA55" s="11">
        <f>IF(CA54&lt;Aerodynamics!$I$7,0,SQRT(ABS(CA54-Aerodynamics!$I$7)/Aerodynamics!$I$9))</f>
        <v>0.55863840682022792</v>
      </c>
      <c r="CB55" s="11">
        <f>IF(CB54&lt;Aerodynamics!$I$7,0,SQRT(ABS(CB54-Aerodynamics!$I$7)/Aerodynamics!$I$9))</f>
        <v>0.56311936374128191</v>
      </c>
      <c r="CC55" s="11">
        <f>IF(CC54&lt;Aerodynamics!$I$7,0,SQRT(ABS(CC54-Aerodynamics!$I$7)/Aerodynamics!$I$9))</f>
        <v>0.56756494435978855</v>
      </c>
      <c r="CD55" s="11">
        <f>IF(CD54&lt;Aerodynamics!$I$7,0,SQRT(ABS(CD54-Aerodynamics!$I$7)/Aerodynamics!$I$9))</f>
        <v>0.57197597354423335</v>
      </c>
      <c r="CE55" s="11">
        <f>IF(CE54&lt;Aerodynamics!$I$7,0,SQRT(ABS(CE54-Aerodynamics!$I$7)/Aerodynamics!$I$9))</f>
        <v>0.5763532445971109</v>
      </c>
      <c r="CF55" s="11">
        <f>IF(CF54&lt;Aerodynamics!$I$7,0,SQRT(ABS(CF54-Aerodynamics!$I$7)/Aerodynamics!$I$9))</f>
        <v>0.58069752092062599</v>
      </c>
      <c r="CG55" s="11">
        <f>IF(CG54&lt;Aerodynamics!$I$7,0,SQRT(ABS(CG54-Aerodynamics!$I$7)/Aerodynamics!$I$9))</f>
        <v>0.58500953757105922</v>
      </c>
      <c r="CH55" s="11">
        <f>IF(CH54&lt;Aerodynamics!$I$7,0,SQRT(ABS(CH54-Aerodynamics!$I$7)/Aerodynamics!$I$9))</f>
        <v>0.5892900027107606</v>
      </c>
      <c r="CI55" s="11">
        <f>IF(CI54&lt;Aerodynamics!$I$7,0,SQRT(ABS(CI54-Aerodynamics!$I$7)/Aerodynamics!$I$9))</f>
        <v>0.59353959896589192</v>
      </c>
      <c r="CJ55" s="11">
        <f>IF(CJ54&lt;Aerodynamics!$I$7,0,SQRT(ABS(CJ54-Aerodynamics!$I$7)/Aerodynamics!$I$9))</f>
        <v>0.5977589846972905</v>
      </c>
      <c r="CK55" s="11">
        <f>IF(CK54&lt;Aerodynamics!$I$7,0,SQRT(ABS(CK54-Aerodynamics!$I$7)/Aerodynamics!$I$9))</f>
        <v>0.60194879519115174</v>
      </c>
      <c r="CL55" s="11">
        <f>IF(CL54&lt;Aerodynamics!$I$7,0,SQRT(ABS(CL54-Aerodynamics!$I$7)/Aerodynamics!$I$9))</f>
        <v>0.60610964377563148</v>
      </c>
      <c r="CM55" s="11">
        <f>IF(CM54&lt;Aerodynamics!$I$7,0,SQRT(ABS(CM54-Aerodynamics!$I$7)/Aerodynamics!$I$9))</f>
        <v>0.61024212286892043</v>
      </c>
      <c r="CN55" s="11">
        <f>IF(CN54&lt;Aerodynamics!$I$7,0,SQRT(ABS(CN54-Aerodynamics!$I$7)/Aerodynamics!$I$9))</f>
        <v>0.61434680496386584</v>
      </c>
      <c r="CO55" s="11">
        <f>IF(CO54&lt;Aerodynamics!$I$7,0,SQRT(ABS(CO54-Aerodynamics!$I$7)/Aerodynamics!$I$9))</f>
        <v>0.61842424355377101</v>
      </c>
      <c r="CP55" s="4"/>
    </row>
    <row r="56" spans="1:94" ht="12.75" x14ac:dyDescent="0.2">
      <c r="A56" s="9" t="s">
        <v>700</v>
      </c>
      <c r="B56" s="12"/>
      <c r="C56" s="14">
        <f>IF(C54&lt;Aerodynamics!$C$12,0,SQRT(ABS(C54-Aerodynamics!$C$12)/Aerodynamics!$C$13))</f>
        <v>0</v>
      </c>
      <c r="D56" s="14">
        <f>IF(D54&lt;Aerodynamics!$C$12,0,SQRT(ABS(D54-Aerodynamics!$C$12)/Aerodynamics!$C$13))</f>
        <v>0</v>
      </c>
      <c r="E56" s="14">
        <f>IF(E54&lt;Aerodynamics!$C$12,0,SQRT(ABS(E54-Aerodynamics!$C$12)/Aerodynamics!$C$13))</f>
        <v>0</v>
      </c>
      <c r="F56" s="14">
        <f>IF(F54&lt;Aerodynamics!$C$12,0,SQRT(ABS(F54-Aerodynamics!$C$12)/Aerodynamics!$C$13))</f>
        <v>0</v>
      </c>
      <c r="G56" s="14">
        <f>IF(G54&lt;Aerodynamics!$C$12,0,SQRT(ABS(G54-Aerodynamics!$C$12)/Aerodynamics!$C$13))</f>
        <v>0</v>
      </c>
      <c r="H56" s="14">
        <f>IF(H54&lt;Aerodynamics!$C$12,0,SQRT(ABS(H54-Aerodynamics!$C$12)/Aerodynamics!$C$13))</f>
        <v>0</v>
      </c>
      <c r="I56" s="14">
        <f>IF(I54&lt;Aerodynamics!$C$12,0,SQRT(ABS(I54-Aerodynamics!$C$12)/Aerodynamics!$C$13))</f>
        <v>0</v>
      </c>
      <c r="J56" s="14">
        <f>IF(J54&lt;Aerodynamics!$C$12,0,SQRT(ABS(J54-Aerodynamics!$C$12)/Aerodynamics!$C$13))</f>
        <v>0</v>
      </c>
      <c r="K56" s="14">
        <f>IF(K54&lt;Aerodynamics!$C$12,0,SQRT(ABS(K54-Aerodynamics!$C$12)/Aerodynamics!$C$13))</f>
        <v>0</v>
      </c>
      <c r="L56" s="14">
        <f>IF(L54&lt;Aerodynamics!$C$12,0,SQRT(ABS(L54-Aerodynamics!$C$12)/Aerodynamics!$C$13))</f>
        <v>0</v>
      </c>
      <c r="M56" s="14">
        <f>IF(M54&lt;Aerodynamics!$C$12,0,SQRT(ABS(M54-Aerodynamics!$C$12)/Aerodynamics!$C$13))</f>
        <v>0</v>
      </c>
      <c r="N56" s="14">
        <f>IF(N54&lt;Aerodynamics!$C$12,0,SQRT(ABS(N54-Aerodynamics!$C$12)/Aerodynamics!$C$13))</f>
        <v>0</v>
      </c>
      <c r="O56" s="14">
        <f>IF(O54&lt;Aerodynamics!$C$12,0,SQRT(ABS(O54-Aerodynamics!$C$12)/Aerodynamics!$C$13))</f>
        <v>0</v>
      </c>
      <c r="P56" s="14">
        <f>IF(P54&lt;Aerodynamics!$C$12,0,SQRT(ABS(P54-Aerodynamics!$C$12)/Aerodynamics!$C$13))</f>
        <v>0</v>
      </c>
      <c r="Q56" s="14">
        <f>IF(Q54&lt;Aerodynamics!$C$12,0,SQRT(ABS(Q54-Aerodynamics!$C$12)/Aerodynamics!$C$13))</f>
        <v>0</v>
      </c>
      <c r="R56" s="14">
        <f>IF(R54&lt;Aerodynamics!$C$12,0,SQRT(ABS(R54-Aerodynamics!$C$12)/Aerodynamics!$C$13))</f>
        <v>0</v>
      </c>
      <c r="S56" s="14">
        <f>IF(S54&lt;Aerodynamics!$C$12,0,SQRT(ABS(S54-Aerodynamics!$C$12)/Aerodynamics!$C$13))</f>
        <v>0</v>
      </c>
      <c r="T56" s="11">
        <f>IF(T54&lt;Aerodynamics!$C$12,0,SQRT(ABS(T54-Aerodynamics!$C$12)/Aerodynamics!$C$13))</f>
        <v>0</v>
      </c>
      <c r="U56" s="11">
        <f>IF(U54&lt;Aerodynamics!$C$12,0,SQRT(ABS(U54-Aerodynamics!$C$12)/Aerodynamics!$C$13))</f>
        <v>0</v>
      </c>
      <c r="V56" s="11">
        <f>IF(V54&lt;Aerodynamics!$C$12,0,SQRT(ABS(V54-Aerodynamics!$C$12)/Aerodynamics!$C$13))</f>
        <v>0</v>
      </c>
      <c r="W56" s="11">
        <f>IF(W54&lt;Aerodynamics!$C$12,0,SQRT(ABS(W54-Aerodynamics!$C$12)/Aerodynamics!$C$13))</f>
        <v>0</v>
      </c>
      <c r="X56" s="11">
        <f>IF(X54&lt;Aerodynamics!$C$12,0,SQRT(ABS(X54-Aerodynamics!$C$12)/Aerodynamics!$C$13))</f>
        <v>0</v>
      </c>
      <c r="Y56" s="11">
        <f>IF(Y54&lt;Aerodynamics!$C$12,0,SQRT(ABS(Y54-Aerodynamics!$C$12)/Aerodynamics!$C$13))</f>
        <v>0</v>
      </c>
      <c r="Z56" s="11">
        <f>IF(Z54&lt;Aerodynamics!$C$12,0,SQRT(ABS(Z54-Aerodynamics!$C$12)/Aerodynamics!$C$13))</f>
        <v>0</v>
      </c>
      <c r="AA56" s="11">
        <f>IF(AA54&lt;Aerodynamics!$C$12,0,SQRT(ABS(AA54-Aerodynamics!$C$12)/Aerodynamics!$C$13))</f>
        <v>0</v>
      </c>
      <c r="AB56" s="11">
        <f>IF(AB54&lt;Aerodynamics!$C$12,0,SQRT(ABS(AB54-Aerodynamics!$C$12)/Aerodynamics!$C$13))</f>
        <v>0</v>
      </c>
      <c r="AC56" s="11">
        <f>IF(AC54&lt;Aerodynamics!$C$12,0,SQRT(ABS(AC54-Aerodynamics!$C$12)/Aerodynamics!$C$13))</f>
        <v>0</v>
      </c>
      <c r="AD56" s="11">
        <f>IF(AD54&lt;Aerodynamics!$C$12,0,SQRT(ABS(AD54-Aerodynamics!$C$12)/Aerodynamics!$C$13))</f>
        <v>0</v>
      </c>
      <c r="AE56" s="11">
        <f>IF(AE54&lt;Aerodynamics!$C$12,0,SQRT(ABS(AE54-Aerodynamics!$C$12)/Aerodynamics!$C$13))</f>
        <v>0</v>
      </c>
      <c r="AF56" s="11">
        <f>IF(AF54&lt;Aerodynamics!$C$12,0,SQRT(ABS(AF54-Aerodynamics!$C$12)/Aerodynamics!$C$13))</f>
        <v>0</v>
      </c>
      <c r="AG56" s="11">
        <f>IF(AG54&lt;Aerodynamics!$C$12,0,SQRT(ABS(AG54-Aerodynamics!$C$12)/Aerodynamics!$C$13))</f>
        <v>0</v>
      </c>
      <c r="AH56" s="11">
        <f>IF(AH54&lt;Aerodynamics!$C$12,0,SQRT(ABS(AH54-Aerodynamics!$C$12)/Aerodynamics!$C$13))</f>
        <v>0</v>
      </c>
      <c r="AI56" s="11">
        <f>IF(AI54&lt;Aerodynamics!$C$12,0,SQRT(ABS(AI54-Aerodynamics!$C$12)/Aerodynamics!$C$13))</f>
        <v>0</v>
      </c>
      <c r="AJ56" s="11">
        <f>IF(AJ54&lt;Aerodynamics!$C$12,0,SQRT(ABS(AJ54-Aerodynamics!$C$12)/Aerodynamics!$C$13))</f>
        <v>0</v>
      </c>
      <c r="AK56" s="11">
        <f>IF(AK54&lt;Aerodynamics!$C$12,0,SQRT(ABS(AK54-Aerodynamics!$C$12)/Aerodynamics!$C$13))</f>
        <v>0</v>
      </c>
      <c r="AL56" s="11">
        <f>IF(AL54&lt;Aerodynamics!$C$12,0,SQRT(ABS(AL54-Aerodynamics!$C$12)/Aerodynamics!$C$13))</f>
        <v>0</v>
      </c>
      <c r="AM56" s="11">
        <f>IF(AM54&lt;Aerodynamics!$C$12,0,SQRT(ABS(AM54-Aerodynamics!$C$12)/Aerodynamics!$C$13))</f>
        <v>0</v>
      </c>
      <c r="AN56" s="11">
        <f>IF(AN54&lt;Aerodynamics!$C$12,0,SQRT(ABS(AN54-Aerodynamics!$C$12)/Aerodynamics!$C$13))</f>
        <v>0</v>
      </c>
      <c r="AO56" s="11">
        <f>IF(AO54&lt;Aerodynamics!$C$12,0,SQRT(ABS(AO54-Aerodynamics!$C$12)/Aerodynamics!$C$13))</f>
        <v>0</v>
      </c>
      <c r="AP56" s="11">
        <f>IF(AP54&lt;Aerodynamics!$C$12,0,SQRT(ABS(AP54-Aerodynamics!$C$12)/Aerodynamics!$C$13))</f>
        <v>0</v>
      </c>
      <c r="AQ56" s="11">
        <f>IF(AQ54&lt;Aerodynamics!$C$12,0,SQRT(ABS(AQ54-Aerodynamics!$C$12)/Aerodynamics!$C$13))</f>
        <v>4.3015947132529745E-9</v>
      </c>
      <c r="AR56" s="11">
        <f>IF(AR54&lt;Aerodynamics!$C$12,0,SQRT(ABS(AR54-Aerodynamics!$C$12)/Aerodynamics!$C$13))</f>
        <v>2.581988897471648E-2</v>
      </c>
      <c r="AS56" s="11">
        <f>IF(AS54&lt;Aerodynamics!$C$12,0,SQRT(ABS(AS54-Aerodynamics!$C$12)/Aerodynamics!$C$13))</f>
        <v>3.6514837167011344E-2</v>
      </c>
      <c r="AT56" s="11">
        <f>IF(AT54&lt;Aerodynamics!$C$12,0,SQRT(ABS(AT54-Aerodynamics!$C$12)/Aerodynamics!$C$13))</f>
        <v>4.4721359549996023E-2</v>
      </c>
      <c r="AU56" s="11">
        <f>IF(AU54&lt;Aerodynamics!$C$12,0,SQRT(ABS(AU54-Aerodynamics!$C$12)/Aerodynamics!$C$13))</f>
        <v>5.1639777949432426E-2</v>
      </c>
      <c r="AV56" s="11">
        <f>IF(AV54&lt;Aerodynamics!$C$12,0,SQRT(ABS(AV54-Aerodynamics!$C$12)/Aerodynamics!$C$13))</f>
        <v>5.7735026918962762E-2</v>
      </c>
      <c r="AW56" s="11">
        <f>IF(AW54&lt;Aerodynamics!$C$12,0,SQRT(ABS(AW54-Aerodynamics!$C$12)/Aerodynamics!$C$13))</f>
        <v>6.3245553203367763E-2</v>
      </c>
      <c r="AX56" s="11">
        <f>IF(AX54&lt;Aerodynamics!$C$12,0,SQRT(ABS(AX54-Aerodynamics!$C$12)/Aerodynamics!$C$13))</f>
        <v>6.8313005106397484E-2</v>
      </c>
      <c r="AY56" s="11">
        <f>IF(AY54&lt;Aerodynamics!$C$12,0,SQRT(ABS(AY54-Aerodynamics!$C$12)/Aerodynamics!$C$13))</f>
        <v>7.3029674334022313E-2</v>
      </c>
      <c r="AZ56" s="11">
        <f>IF(AZ54&lt;Aerodynamics!$C$12,0,SQRT(ABS(AZ54-Aerodynamics!$C$12)/Aerodynamics!$C$13))</f>
        <v>7.745966692414849E-2</v>
      </c>
      <c r="BA56" s="11">
        <f>IF(BA54&lt;Aerodynamics!$C$12,0,SQRT(ABS(BA54-Aerodynamics!$C$12)/Aerodynamics!$C$13))</f>
        <v>8.1649658092772748E-2</v>
      </c>
      <c r="BB56" s="11">
        <f>IF(BB54&lt;Aerodynamics!$C$12,0,SQRT(ABS(BB54-Aerodynamics!$C$12)/Aerodynamics!$C$13))</f>
        <v>8.5634883857767671E-2</v>
      </c>
      <c r="BC56" s="11">
        <f>IF(BC54&lt;Aerodynamics!$C$12,0,SQRT(ABS(BC54-Aerodynamics!$C$12)/Aerodynamics!$C$13))</f>
        <v>8.9442719099991741E-2</v>
      </c>
      <c r="BD56" s="11">
        <f>IF(BD54&lt;Aerodynamics!$C$12,0,SQRT(ABS(BD54-Aerodynamics!$C$12)/Aerodynamics!$C$13))</f>
        <v>9.3094933625126414E-2</v>
      </c>
      <c r="BE56" s="11">
        <f>IF(BE54&lt;Aerodynamics!$C$12,0,SQRT(ABS(BE54-Aerodynamics!$C$12)/Aerodynamics!$C$13))</f>
        <v>9.6609178307929727E-2</v>
      </c>
      <c r="BF56" s="11">
        <f>IF(BF54&lt;Aerodynamics!$C$12,0,SQRT(ABS(BF54-Aerodynamics!$C$12)/Aerodynamics!$C$13))</f>
        <v>0.10000000000000014</v>
      </c>
      <c r="BG56" s="11">
        <f>IF(BG54&lt;Aerodynamics!$C$12,0,SQRT(ABS(BG54-Aerodynamics!$C$12)/Aerodynamics!$C$13))</f>
        <v>0.10327955589886459</v>
      </c>
      <c r="BH56" s="11">
        <f>IF(BH54&lt;Aerodynamics!$C$12,0,SQRT(ABS(BH54-Aerodynamics!$C$12)/Aerodynamics!$C$13))</f>
        <v>0.10645812948447554</v>
      </c>
      <c r="BI56" s="11">
        <f>IF(BI54&lt;Aerodynamics!$C$12,0,SQRT(ABS(BI54-Aerodynamics!$C$12)/Aerodynamics!$C$13))</f>
        <v>0.10954451150103336</v>
      </c>
      <c r="BJ56" s="11">
        <f>IF(BJ54&lt;Aerodynamics!$C$12,0,SQRT(ABS(BJ54-Aerodynamics!$C$12)/Aerodynamics!$C$13))</f>
        <v>0.11254628677422768</v>
      </c>
      <c r="BK56" s="11">
        <f>IF(BK54&lt;Aerodynamics!$C$12,0,SQRT(ABS(BK54-Aerodynamics!$C$12)/Aerodynamics!$C$13))</f>
        <v>0.11547005383792529</v>
      </c>
      <c r="BL56" s="11">
        <f>IF(BL54&lt;Aerodynamics!$C$12,0,SQRT(ABS(BL54-Aerodynamics!$C$12)/Aerodynamics!$C$13))</f>
        <v>0.11832159566199245</v>
      </c>
      <c r="BM56" s="11">
        <f>IF(BM54&lt;Aerodynamics!$C$12,0,SQRT(ABS(BM54-Aerodynamics!$C$12)/Aerodynamics!$C$13))</f>
        <v>0.12110601416389979</v>
      </c>
      <c r="BN56" s="11">
        <f>IF(BN54&lt;Aerodynamics!$C$12,0,SQRT(ABS(BN54-Aerodynamics!$C$12)/Aerodynamics!$C$13))</f>
        <v>0.12382783747337818</v>
      </c>
      <c r="BO56" s="11">
        <f>IF(BO54&lt;Aerodynamics!$C$12,0,SQRT(ABS(BO54-Aerodynamics!$C$12)/Aerodynamics!$C$13))</f>
        <v>0.12649110640673528</v>
      </c>
      <c r="BP56" s="11">
        <f>IF(BP54&lt;Aerodynamics!$C$12,0,SQRT(ABS(BP54-Aerodynamics!$C$12)/Aerodynamics!$C$13))</f>
        <v>0.12909944487358066</v>
      </c>
      <c r="BQ56" s="11">
        <f>IF(BQ54&lt;Aerodynamics!$C$12,0,SQRT(ABS(BQ54-Aerodynamics!$C$12)/Aerodynamics!$C$13))</f>
        <v>0.13165611772087676</v>
      </c>
      <c r="BR56" s="11">
        <f>IF(BR54&lt;Aerodynamics!$C$12,0,SQRT(ABS(BR54-Aerodynamics!$C$12)/Aerodynamics!$C$13))</f>
        <v>0.1341640786499875</v>
      </c>
      <c r="BS56" s="11">
        <f>IF(BS54&lt;Aerodynamics!$C$12,0,SQRT(ABS(BS54-Aerodynamics!$C$12)/Aerodynamics!$C$13))</f>
        <v>0.13662601021279475</v>
      </c>
      <c r="BT56" s="11">
        <f>IF(BT54&lt;Aerodynamics!$C$12,0,SQRT(ABS(BT54-Aerodynamics!$C$12)/Aerodynamics!$C$13))</f>
        <v>0.13904435743076152</v>
      </c>
      <c r="BU56" s="11">
        <f>IF(BU54&lt;Aerodynamics!$C$12,0,SQRT(ABS(BU54-Aerodynamics!$C$12)/Aerodynamics!$C$13))</f>
        <v>0.14142135623730961</v>
      </c>
      <c r="BV56" s="11">
        <f>IF(BV54&lt;Aerodynamics!$C$12,0,SQRT(ABS(BV54-Aerodynamics!$C$12)/Aerodynamics!$C$13))</f>
        <v>0.14375905768565228</v>
      </c>
      <c r="BW56" s="11">
        <f>IF(BW54&lt;Aerodynamics!$C$12,0,SQRT(ABS(BW54-Aerodynamics!$C$12)/Aerodynamics!$C$13))</f>
        <v>0.1460593486680444</v>
      </c>
      <c r="BX56" s="11">
        <f>IF(BX54&lt;Aerodynamics!$C$12,0,SQRT(ABS(BX54-Aerodynamics!$C$12)/Aerodynamics!$C$13))</f>
        <v>0.14832396974191336</v>
      </c>
      <c r="BY56" s="11">
        <f>IF(BY54&lt;Aerodynamics!$C$12,0,SQRT(ABS(BY54-Aerodynamics!$C$12)/Aerodynamics!$C$13))</f>
        <v>0.15055453054181631</v>
      </c>
      <c r="BZ56" s="11">
        <f>IF(BZ54&lt;Aerodynamics!$C$12,0,SQRT(ABS(BZ54-Aerodynamics!$C$12)/Aerodynamics!$C$13))</f>
        <v>0.15275252316519478</v>
      </c>
      <c r="CA56" s="11">
        <f>IF(CA54&lt;Aerodynamics!$C$12,0,SQRT(ABS(CA54-Aerodynamics!$C$12)/Aerodynamics!$C$13))</f>
        <v>0.15491933384829679</v>
      </c>
      <c r="CB56" s="11">
        <f>IF(CB54&lt;Aerodynamics!$C$12,0,SQRT(ABS(CB54-Aerodynamics!$C$12)/Aerodynamics!$C$13))</f>
        <v>0.15705625319186339</v>
      </c>
      <c r="CC56" s="11">
        <f>IF(CC54&lt;Aerodynamics!$C$12,0,SQRT(ABS(CC54-Aerodynamics!$C$12)/Aerodynamics!$C$13))</f>
        <v>0.15916448515084441</v>
      </c>
      <c r="CD56" s="11">
        <f>IF(CD54&lt;Aerodynamics!$C$12,0,SQRT(ABS(CD54-Aerodynamics!$C$12)/Aerodynamics!$C$13))</f>
        <v>0.16124515496597111</v>
      </c>
      <c r="CE56" s="11">
        <f>IF(CE54&lt;Aerodynamics!$C$12,0,SQRT(ABS(CE54-Aerodynamics!$C$12)/Aerodynamics!$C$13))</f>
        <v>0.16329931618554533</v>
      </c>
      <c r="CF56" s="11">
        <f>IF(CF54&lt;Aerodynamics!$C$12,0,SQRT(ABS(CF54-Aerodynamics!$C$12)/Aerodynamics!$C$13))</f>
        <v>0.16532795690183005</v>
      </c>
      <c r="CG56" s="11">
        <f>IF(CG54&lt;Aerodynamics!$C$12,0,SQRT(ABS(CG54-Aerodynamics!$C$12)/Aerodynamics!$C$13))</f>
        <v>0.16733200530681522</v>
      </c>
      <c r="CH56" s="11">
        <f>IF(CH54&lt;Aerodynamics!$C$12,0,SQRT(ABS(CH54-Aerodynamics!$C$12)/Aerodynamics!$C$13))</f>
        <v>0.16931233465600404</v>
      </c>
      <c r="CI56" s="11">
        <f>IF(CI54&lt;Aerodynamics!$C$12,0,SQRT(ABS(CI54-Aerodynamics!$C$12)/Aerodynamics!$C$13))</f>
        <v>0.17126976771553518</v>
      </c>
      <c r="CJ56" s="11">
        <f>IF(CJ54&lt;Aerodynamics!$C$12,0,SQRT(ABS(CJ54-Aerodynamics!$C$12)/Aerodynamics!$C$13))</f>
        <v>0.17320508075688784</v>
      </c>
      <c r="CK56" s="11">
        <f>IF(CK54&lt;Aerodynamics!$C$12,0,SQRT(ABS(CK54-Aerodynamics!$C$12)/Aerodynamics!$C$13))</f>
        <v>0.17511900715418274</v>
      </c>
      <c r="CL56" s="11">
        <f>IF(CL54&lt;Aerodynamics!$C$12,0,SQRT(ABS(CL54-Aerodynamics!$C$12)/Aerodynamics!$C$13))</f>
        <v>0.17701224063135682</v>
      </c>
      <c r="CM56" s="11">
        <f>IF(CM54&lt;Aerodynamics!$C$12,0,SQRT(ABS(CM54-Aerodynamics!$C$12)/Aerodynamics!$C$13))</f>
        <v>0.17888543819998329</v>
      </c>
      <c r="CN56" s="11">
        <f>IF(CN54&lt;Aerodynamics!$C$12,0,SQRT(ABS(CN54-Aerodynamics!$C$12)/Aerodynamics!$C$13))</f>
        <v>0.18073922282301291</v>
      </c>
      <c r="CO56" s="11">
        <f>IF(CO54&lt;Aerodynamics!$C$12,0,SQRT(ABS(CO54-Aerodynamics!$C$12)/Aerodynamics!$C$13))</f>
        <v>0.1825741858350555</v>
      </c>
      <c r="CP56" s="4"/>
    </row>
    <row r="57" spans="1:94" ht="12.75"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5" t="s">
        <v>701</v>
      </c>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row>
  </sheetData>
  <mergeCells count="9">
    <mergeCell ref="E14:G14"/>
    <mergeCell ref="E15:G15"/>
    <mergeCell ref="E16:G16"/>
    <mergeCell ref="E7:G7"/>
    <mergeCell ref="E9:G9"/>
    <mergeCell ref="E10:G10"/>
    <mergeCell ref="E11:G11"/>
    <mergeCell ref="E12:G12"/>
    <mergeCell ref="E13:G1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1"/>
  <sheetViews>
    <sheetView tabSelected="1" topLeftCell="A34" workbookViewId="0">
      <selection activeCell="P73" sqref="P73"/>
    </sheetView>
  </sheetViews>
  <sheetFormatPr defaultRowHeight="12" x14ac:dyDescent="0.15"/>
  <cols>
    <col min="1" max="1" width="21.375" customWidth="1"/>
  </cols>
  <sheetData>
    <row r="1" spans="1:30" ht="12.75" x14ac:dyDescent="0.2">
      <c r="A1" s="2" t="s">
        <v>378</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2.75" x14ac:dyDescent="0.2">
      <c r="A2" s="5" t="s">
        <v>379</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12.75"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12.75" x14ac:dyDescent="0.2">
      <c r="A4" s="5" t="s">
        <v>209</v>
      </c>
      <c r="B4" s="4"/>
      <c r="C4" s="4"/>
      <c r="D4" s="4"/>
      <c r="E4" s="5" t="s">
        <v>210</v>
      </c>
      <c r="F4" s="4"/>
      <c r="G4" s="4"/>
      <c r="H4" s="4"/>
      <c r="I4" s="4"/>
      <c r="J4" s="4"/>
      <c r="K4" s="4"/>
      <c r="L4" s="4"/>
      <c r="M4" s="4"/>
      <c r="N4" s="4"/>
      <c r="O4" s="4"/>
      <c r="P4" s="4"/>
      <c r="Q4" s="4"/>
      <c r="R4" s="4"/>
      <c r="S4" s="4"/>
      <c r="T4" s="4"/>
      <c r="U4" s="4"/>
      <c r="V4" s="4"/>
      <c r="W4" s="4"/>
      <c r="X4" s="4"/>
      <c r="Y4" s="4"/>
      <c r="Z4" s="4"/>
      <c r="AA4" s="4"/>
      <c r="AB4" s="4"/>
      <c r="AC4" s="4"/>
      <c r="AD4" s="4"/>
    </row>
    <row r="5" spans="1:30" ht="12.75" x14ac:dyDescent="0.2">
      <c r="A5" s="5" t="s">
        <v>380</v>
      </c>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1:30" ht="12.75"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12.75" x14ac:dyDescent="0.2">
      <c r="A7" s="9" t="s">
        <v>381</v>
      </c>
      <c r="B7" s="9" t="s">
        <v>382</v>
      </c>
      <c r="C7" s="49">
        <v>4500</v>
      </c>
      <c r="D7" s="4"/>
      <c r="E7" s="9" t="s">
        <v>383</v>
      </c>
      <c r="F7" s="12"/>
      <c r="G7" s="12"/>
      <c r="H7" s="9" t="s">
        <v>384</v>
      </c>
      <c r="I7" s="14">
        <f>Mission!$C$13</f>
        <v>0</v>
      </c>
      <c r="J7" s="4"/>
      <c r="K7" s="4"/>
      <c r="L7" s="4"/>
      <c r="M7" s="4"/>
      <c r="N7" s="4"/>
      <c r="O7" s="4"/>
      <c r="P7" s="4"/>
      <c r="Q7" s="4"/>
      <c r="R7" s="4"/>
      <c r="S7" s="4"/>
      <c r="T7" s="4"/>
      <c r="U7" s="4"/>
      <c r="V7" s="4"/>
      <c r="W7" s="4"/>
      <c r="X7" s="4"/>
      <c r="Y7" s="4"/>
      <c r="Z7" s="4"/>
      <c r="AA7" s="4"/>
      <c r="AB7" s="4"/>
      <c r="AC7" s="4"/>
      <c r="AD7" s="4"/>
    </row>
    <row r="8" spans="1:30" ht="14.25" x14ac:dyDescent="0.25">
      <c r="A8" s="9" t="s">
        <v>744</v>
      </c>
      <c r="B8" s="9" t="s">
        <v>385</v>
      </c>
      <c r="C8" s="49">
        <v>1.5</v>
      </c>
      <c r="D8" s="4"/>
      <c r="E8" s="9" t="s">
        <v>386</v>
      </c>
      <c r="F8" s="12"/>
      <c r="G8" s="12"/>
      <c r="H8" s="9" t="s">
        <v>387</v>
      </c>
      <c r="I8" s="14">
        <f>Atmosphere!$G18/Atmosphere!$E$11</f>
        <v>1.0000014872730345</v>
      </c>
      <c r="J8" s="4"/>
      <c r="K8" s="4"/>
      <c r="L8" s="4"/>
      <c r="M8" s="4"/>
      <c r="N8" s="4"/>
      <c r="O8" s="4"/>
      <c r="P8" s="4"/>
      <c r="Q8" s="4"/>
      <c r="R8" s="4"/>
      <c r="S8" s="4"/>
      <c r="T8" s="4"/>
      <c r="U8" s="4"/>
      <c r="V8" s="4"/>
      <c r="W8" s="4"/>
      <c r="X8" s="4"/>
      <c r="Y8" s="4"/>
      <c r="Z8" s="4"/>
      <c r="AA8" s="4"/>
      <c r="AB8" s="4"/>
      <c r="AC8" s="4"/>
      <c r="AD8" s="4"/>
    </row>
    <row r="9" spans="1:30" ht="14.25" x14ac:dyDescent="0.25">
      <c r="A9" s="9" t="s">
        <v>747</v>
      </c>
      <c r="B9" s="9" t="s">
        <v>388</v>
      </c>
      <c r="C9" s="52">
        <v>7.4999999999999997E-3</v>
      </c>
      <c r="D9" s="4"/>
      <c r="E9" s="4"/>
      <c r="F9" s="4"/>
      <c r="G9" s="4"/>
      <c r="H9" s="4"/>
      <c r="I9" s="4"/>
      <c r="J9" s="4"/>
      <c r="K9" s="4"/>
      <c r="L9" s="4"/>
      <c r="M9" s="4"/>
      <c r="N9" s="4"/>
      <c r="O9" s="4"/>
      <c r="P9" s="4"/>
      <c r="Q9" s="4"/>
      <c r="R9" s="4"/>
      <c r="S9" s="4"/>
      <c r="T9" s="4"/>
      <c r="U9" s="4"/>
      <c r="V9" s="4"/>
      <c r="W9" s="4"/>
      <c r="X9" s="4"/>
      <c r="Y9" s="4"/>
      <c r="Z9" s="4"/>
      <c r="AA9" s="4"/>
      <c r="AB9" s="4"/>
      <c r="AC9" s="4"/>
      <c r="AD9" s="4"/>
    </row>
    <row r="10" spans="1:30" ht="14.25" x14ac:dyDescent="0.25">
      <c r="A10" s="9" t="s">
        <v>748</v>
      </c>
      <c r="B10" s="9" t="s">
        <v>389</v>
      </c>
      <c r="C10" s="52">
        <v>1.4999999999999999E-2</v>
      </c>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12.75" x14ac:dyDescent="0.2">
      <c r="A11" s="12"/>
      <c r="B11" s="12"/>
      <c r="C11" s="50"/>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1:30" ht="12.75" x14ac:dyDescent="0.2">
      <c r="A12" s="9" t="s">
        <v>390</v>
      </c>
      <c r="B12" s="12"/>
      <c r="C12" s="50"/>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ht="14.25" x14ac:dyDescent="0.25">
      <c r="A13" s="9" t="s">
        <v>745</v>
      </c>
      <c r="B13" s="9" t="s">
        <v>391</v>
      </c>
      <c r="C13" s="49">
        <v>2</v>
      </c>
      <c r="D13" s="4"/>
      <c r="E13" s="9" t="s">
        <v>392</v>
      </c>
      <c r="F13" s="12"/>
      <c r="G13" s="12"/>
      <c r="H13" s="9" t="s">
        <v>393</v>
      </c>
      <c r="I13" s="14">
        <f>Mission!C76/Mission!C62</f>
        <v>0.48876340231500781</v>
      </c>
      <c r="J13" s="4"/>
      <c r="K13" s="4"/>
      <c r="L13" s="4"/>
      <c r="M13" s="4"/>
      <c r="N13" s="4"/>
      <c r="O13" s="4"/>
      <c r="P13" s="4"/>
      <c r="Q13" s="4"/>
      <c r="R13" s="4"/>
      <c r="S13" s="4"/>
      <c r="T13" s="4"/>
      <c r="U13" s="4"/>
      <c r="V13" s="4"/>
      <c r="W13" s="4"/>
      <c r="X13" s="4"/>
      <c r="Y13" s="4"/>
      <c r="Z13" s="4"/>
      <c r="AA13" s="4"/>
      <c r="AB13" s="4"/>
      <c r="AC13" s="4"/>
      <c r="AD13" s="4"/>
    </row>
    <row r="14" spans="1:30" ht="14.25" x14ac:dyDescent="0.25">
      <c r="A14" s="9" t="s">
        <v>746</v>
      </c>
      <c r="B14" s="9" t="s">
        <v>394</v>
      </c>
      <c r="C14" s="52">
        <v>2.5000000000000001E-2</v>
      </c>
      <c r="D14" s="4"/>
      <c r="E14" s="9" t="s">
        <v>395</v>
      </c>
      <c r="F14" s="12"/>
      <c r="G14" s="12"/>
      <c r="H14" s="9" t="s">
        <v>396</v>
      </c>
      <c r="I14" s="14">
        <f>0.00847*$I$8*$C$13*($C$7-400)/$I$13</f>
        <v>142.10168553556755</v>
      </c>
      <c r="J14" s="5" t="s">
        <v>397</v>
      </c>
      <c r="K14" s="4"/>
      <c r="L14" s="4"/>
      <c r="M14" s="4"/>
      <c r="N14" s="4"/>
      <c r="O14" s="4"/>
      <c r="P14" s="4"/>
      <c r="Q14" s="4"/>
      <c r="R14" s="4"/>
      <c r="S14" s="4"/>
      <c r="T14" s="4"/>
      <c r="U14" s="4"/>
      <c r="V14" s="4"/>
      <c r="W14" s="4"/>
      <c r="X14" s="4"/>
      <c r="Y14" s="4"/>
      <c r="Z14" s="4"/>
      <c r="AA14" s="4"/>
      <c r="AB14" s="4"/>
      <c r="AC14" s="4"/>
      <c r="AD14" s="4"/>
    </row>
    <row r="15" spans="1:30" ht="12.75" x14ac:dyDescent="0.2">
      <c r="A15" s="12"/>
      <c r="B15" s="12"/>
      <c r="C15" s="50"/>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1:30" ht="12.75" x14ac:dyDescent="0.2">
      <c r="A16" s="9" t="s">
        <v>398</v>
      </c>
      <c r="B16" s="12"/>
      <c r="C16" s="50"/>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ht="12.75" x14ac:dyDescent="0.2">
      <c r="A17" s="9" t="s">
        <v>399</v>
      </c>
      <c r="B17" s="9" t="s">
        <v>400</v>
      </c>
      <c r="C17" s="49">
        <v>3</v>
      </c>
      <c r="D17" s="5" t="s">
        <v>401</v>
      </c>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ht="12.75" x14ac:dyDescent="0.2">
      <c r="A18" s="9" t="s">
        <v>402</v>
      </c>
      <c r="B18" s="9" t="s">
        <v>403</v>
      </c>
      <c r="C18" s="49">
        <v>600</v>
      </c>
      <c r="D18" s="4"/>
      <c r="E18" s="5" t="s">
        <v>404</v>
      </c>
      <c r="F18" s="4"/>
      <c r="G18" s="4"/>
      <c r="H18" s="4"/>
      <c r="I18" s="4"/>
      <c r="J18" s="4"/>
      <c r="K18" s="4"/>
      <c r="L18" s="4"/>
      <c r="M18" s="4"/>
      <c r="N18" s="4"/>
      <c r="O18" s="4"/>
      <c r="P18" s="4"/>
      <c r="Q18" s="4"/>
      <c r="R18" s="4"/>
      <c r="S18" s="4"/>
      <c r="T18" s="4"/>
      <c r="U18" s="4"/>
      <c r="V18" s="4"/>
      <c r="W18" s="4"/>
      <c r="X18" s="4"/>
      <c r="Y18" s="4"/>
      <c r="Z18" s="4"/>
      <c r="AA18" s="4"/>
      <c r="AB18" s="4"/>
      <c r="AC18" s="4"/>
      <c r="AD18" s="4"/>
    </row>
    <row r="19" spans="1:30" ht="14.25" x14ac:dyDescent="0.25">
      <c r="A19" s="9" t="s">
        <v>749</v>
      </c>
      <c r="B19" s="9" t="s">
        <v>405</v>
      </c>
      <c r="C19" s="49">
        <v>2</v>
      </c>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ht="12.75" x14ac:dyDescent="0.2">
      <c r="A20" s="22"/>
      <c r="B20" s="22"/>
      <c r="C20" s="23"/>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ht="12.75" x14ac:dyDescent="0.2">
      <c r="A21" s="24"/>
      <c r="B21" s="25"/>
      <c r="C21" s="26"/>
      <c r="D21" s="27"/>
      <c r="E21" s="28"/>
      <c r="F21" s="27"/>
      <c r="G21" s="28"/>
      <c r="H21" s="27"/>
      <c r="I21" s="28"/>
      <c r="J21" s="27"/>
      <c r="K21" s="29" t="s">
        <v>406</v>
      </c>
      <c r="L21" s="27"/>
      <c r="M21" s="29" t="s">
        <v>407</v>
      </c>
      <c r="N21" s="27"/>
      <c r="O21" s="30" t="s">
        <v>408</v>
      </c>
      <c r="P21" s="27"/>
      <c r="Q21" s="30" t="s">
        <v>408</v>
      </c>
      <c r="R21" s="27"/>
      <c r="S21" s="29" t="s">
        <v>409</v>
      </c>
      <c r="T21" s="27"/>
      <c r="U21" s="30" t="s">
        <v>410</v>
      </c>
      <c r="V21" s="4"/>
      <c r="W21" s="4"/>
      <c r="X21" s="4"/>
      <c r="Y21" s="4"/>
      <c r="Z21" s="4"/>
      <c r="AA21" s="4"/>
      <c r="AB21" s="4"/>
      <c r="AC21" s="4"/>
      <c r="AD21" s="4"/>
    </row>
    <row r="22" spans="1:30" ht="12.75" x14ac:dyDescent="0.2">
      <c r="A22" s="31"/>
      <c r="B22" s="32"/>
      <c r="C22" s="33" t="s">
        <v>411</v>
      </c>
      <c r="D22" s="32"/>
      <c r="E22" s="33" t="s">
        <v>412</v>
      </c>
      <c r="F22" s="32"/>
      <c r="G22" s="33" t="s">
        <v>413</v>
      </c>
      <c r="H22" s="32"/>
      <c r="I22" s="33" t="s">
        <v>403</v>
      </c>
      <c r="J22" s="32"/>
      <c r="K22" s="34" t="s">
        <v>414</v>
      </c>
      <c r="L22" s="32"/>
      <c r="M22" s="34" t="s">
        <v>414</v>
      </c>
      <c r="N22" s="32"/>
      <c r="O22" s="33" t="s">
        <v>415</v>
      </c>
      <c r="P22" s="32"/>
      <c r="Q22" s="33" t="s">
        <v>416</v>
      </c>
      <c r="R22" s="32"/>
      <c r="S22" s="35"/>
      <c r="T22" s="32"/>
      <c r="U22" s="33" t="s">
        <v>417</v>
      </c>
      <c r="V22" s="4"/>
      <c r="W22" s="4"/>
      <c r="X22" s="4"/>
      <c r="Y22" s="4"/>
      <c r="Z22" s="4"/>
      <c r="AA22" s="4"/>
      <c r="AB22" s="4"/>
      <c r="AC22" s="4"/>
      <c r="AD22" s="4"/>
    </row>
    <row r="23" spans="1:30" ht="12.75" x14ac:dyDescent="0.2">
      <c r="A23" s="36" t="s">
        <v>418</v>
      </c>
      <c r="B23" s="37"/>
      <c r="C23" s="38" t="s">
        <v>19</v>
      </c>
      <c r="D23" s="37"/>
      <c r="E23" s="39" t="s">
        <v>419</v>
      </c>
      <c r="F23" s="37"/>
      <c r="G23" s="39" t="s">
        <v>230</v>
      </c>
      <c r="H23" s="37"/>
      <c r="I23" s="39" t="s">
        <v>420</v>
      </c>
      <c r="J23" s="37"/>
      <c r="K23" s="38" t="s">
        <v>421</v>
      </c>
      <c r="L23" s="37"/>
      <c r="M23" s="38" t="s">
        <v>422</v>
      </c>
      <c r="N23" s="37"/>
      <c r="O23" s="40"/>
      <c r="P23" s="37"/>
      <c r="Q23" s="40"/>
      <c r="R23" s="37"/>
      <c r="S23" s="38" t="s">
        <v>420</v>
      </c>
      <c r="T23" s="37"/>
      <c r="U23" s="39" t="s">
        <v>423</v>
      </c>
      <c r="V23" s="4"/>
      <c r="W23" s="4"/>
      <c r="X23" s="4"/>
      <c r="Y23" s="4"/>
      <c r="Z23" s="4"/>
      <c r="AA23" s="4"/>
      <c r="AB23" s="4"/>
      <c r="AC23" s="4"/>
      <c r="AD23" s="4"/>
    </row>
    <row r="24" spans="1:30" ht="12.75" x14ac:dyDescent="0.2">
      <c r="A24" s="9" t="s">
        <v>424</v>
      </c>
      <c r="B24" s="9" t="s">
        <v>425</v>
      </c>
      <c r="C24" s="49">
        <v>1.8</v>
      </c>
      <c r="D24" s="9" t="s">
        <v>426</v>
      </c>
      <c r="E24" s="49">
        <v>40000</v>
      </c>
      <c r="F24" s="9" t="s">
        <v>765</v>
      </c>
      <c r="G24" s="49">
        <v>5</v>
      </c>
      <c r="H24" s="9" t="s">
        <v>427</v>
      </c>
      <c r="I24" s="49">
        <v>0</v>
      </c>
      <c r="J24" s="9" t="s">
        <v>428</v>
      </c>
      <c r="K24" s="49">
        <f>18/30</f>
        <v>0.6</v>
      </c>
      <c r="L24" s="9" t="s">
        <v>429</v>
      </c>
      <c r="M24" s="16">
        <f>Mission!C69/Mission!C62</f>
        <v>0.50124438756538592</v>
      </c>
      <c r="N24" s="9" t="s">
        <v>430</v>
      </c>
      <c r="O24" s="17">
        <f>IF(C24&lt;1,Aerodynamics!$I$7,Aerodynamics!$C$12)</f>
        <v>0.04</v>
      </c>
      <c r="P24" s="9" t="s">
        <v>431</v>
      </c>
      <c r="Q24" s="16">
        <f>IF(C24&lt;1,Aerodynamics!$I$9,Aerodynamics!$C$13)</f>
        <v>1.5</v>
      </c>
      <c r="R24" s="9" t="s">
        <v>757</v>
      </c>
      <c r="S24" s="15">
        <f>C24*SQRT(Atmosphere!$E$3*Atmosphere!$E$4*Atmosphere!$E$5*(390+Atmosphere!$E$9-IF(+E24&lt;36089,(36089-E24)*Atmosphere!$E$6,0)))</f>
        <v>1859.2926334694062</v>
      </c>
      <c r="T24" s="9" t="s">
        <v>762</v>
      </c>
      <c r="U24" s="16">
        <f>0.7*(1-6.875/1000000*E24)^5.2561*14.7*C24^2*144</f>
        <v>885.61603929591934</v>
      </c>
      <c r="V24" s="4"/>
      <c r="W24" s="4"/>
      <c r="X24" s="4"/>
      <c r="Y24" s="4"/>
      <c r="Z24" s="4"/>
      <c r="AA24" s="4"/>
      <c r="AB24" s="4"/>
      <c r="AC24" s="4"/>
      <c r="AD24" s="4"/>
    </row>
    <row r="25" spans="1:30" ht="12.75" x14ac:dyDescent="0.2">
      <c r="A25" s="9" t="s">
        <v>432</v>
      </c>
      <c r="B25" s="9" t="s">
        <v>433</v>
      </c>
      <c r="C25" s="49">
        <v>0.8</v>
      </c>
      <c r="D25" s="9" t="s">
        <v>434</v>
      </c>
      <c r="E25" s="49">
        <v>40000</v>
      </c>
      <c r="F25" s="9" t="s">
        <v>766</v>
      </c>
      <c r="G25" s="49">
        <v>4</v>
      </c>
      <c r="H25" s="9" t="s">
        <v>435</v>
      </c>
      <c r="I25" s="49">
        <v>0</v>
      </c>
      <c r="J25" s="9" t="s">
        <v>436</v>
      </c>
      <c r="K25" s="49">
        <f>8.5/30</f>
        <v>0.28333333333333333</v>
      </c>
      <c r="L25" s="9" t="s">
        <v>437</v>
      </c>
      <c r="M25" s="16">
        <f>Mission!C69/Mission!C62</f>
        <v>0.50124438756538592</v>
      </c>
      <c r="N25" s="9" t="s">
        <v>438</v>
      </c>
      <c r="O25" s="17">
        <f>IF(C25&lt;1,Aerodynamics!$I$7,Aerodynamics!$C$12)</f>
        <v>1.3914279478188714E-2</v>
      </c>
      <c r="P25" s="9" t="s">
        <v>439</v>
      </c>
      <c r="Q25" s="16">
        <f>IF(C25&lt;1,Aerodynamics!$I$9,Aerodynamics!$C$13)</f>
        <v>0.19894367886486919</v>
      </c>
      <c r="R25" s="9" t="s">
        <v>756</v>
      </c>
      <c r="S25" s="15">
        <f>C25*SQRT(Atmosphere!$E$3*Atmosphere!$E$4*Atmosphere!$E$5*(390+Atmosphere!$E$9-IF(+E25&lt;36089,(36089-E25)*Atmosphere!$E$6,0)))</f>
        <v>826.35228154195829</v>
      </c>
      <c r="T25" s="9" t="s">
        <v>761</v>
      </c>
      <c r="U25" s="16">
        <f>0.7*(1-6.875/1000000*E25)^5.2561*14.7*C25^2*144</f>
        <v>174.93650158931743</v>
      </c>
      <c r="V25" s="4"/>
      <c r="W25" s="4"/>
      <c r="X25" s="4"/>
      <c r="Y25" s="4"/>
      <c r="Z25" s="4"/>
      <c r="AA25" s="4"/>
      <c r="AB25" s="4"/>
      <c r="AC25" s="4"/>
      <c r="AD25" s="4"/>
    </row>
    <row r="26" spans="1:30" ht="12.75" x14ac:dyDescent="0.2">
      <c r="A26" s="9" t="s">
        <v>440</v>
      </c>
      <c r="B26" s="9" t="s">
        <v>441</v>
      </c>
      <c r="C26" s="49">
        <v>1.8</v>
      </c>
      <c r="D26" s="9" t="s">
        <v>442</v>
      </c>
      <c r="E26" s="49">
        <v>40000</v>
      </c>
      <c r="F26" s="9" t="s">
        <v>767</v>
      </c>
      <c r="G26" s="49">
        <v>1</v>
      </c>
      <c r="H26" s="9" t="s">
        <v>443</v>
      </c>
      <c r="I26" s="49">
        <v>700</v>
      </c>
      <c r="J26" s="9" t="s">
        <v>444</v>
      </c>
      <c r="K26" s="49">
        <f>18/30</f>
        <v>0.6</v>
      </c>
      <c r="L26" s="9" t="s">
        <v>445</v>
      </c>
      <c r="M26" s="16">
        <f>Mission!C69/Mission!C62</f>
        <v>0.50124438756538592</v>
      </c>
      <c r="N26" s="9" t="s">
        <v>446</v>
      </c>
      <c r="O26" s="17">
        <f>IF(C26&lt;1,Aerodynamics!$I$7,Aerodynamics!$C$12)</f>
        <v>0.04</v>
      </c>
      <c r="P26" s="9" t="s">
        <v>447</v>
      </c>
      <c r="Q26" s="16">
        <f>IF(C26&lt;1,Aerodynamics!$I$9,Aerodynamics!$C$13)</f>
        <v>1.5</v>
      </c>
      <c r="R26" s="9" t="s">
        <v>755</v>
      </c>
      <c r="S26" s="15">
        <f>C26*SQRT(Atmosphere!$E$3*Atmosphere!$E$4*Atmosphere!$E$5*(390+Atmosphere!$E$9-IF(+E26&lt;36089,(36089-E26)*Atmosphere!$E$6,0)))</f>
        <v>1859.2926334694062</v>
      </c>
      <c r="T26" s="9" t="s">
        <v>760</v>
      </c>
      <c r="U26" s="16">
        <f>0.7*(1-6.875/1000000*E26)^5.2561*14.7*C26^2*144</f>
        <v>885.61603929591934</v>
      </c>
      <c r="V26" s="4"/>
      <c r="W26" s="4"/>
      <c r="X26" s="4"/>
      <c r="Y26" s="4"/>
      <c r="Z26" s="4"/>
      <c r="AA26" s="4"/>
      <c r="AB26" s="4"/>
      <c r="AC26" s="4"/>
      <c r="AD26" s="4"/>
    </row>
    <row r="27" spans="1:30" ht="12.75" x14ac:dyDescent="0.2">
      <c r="A27" s="9" t="s">
        <v>448</v>
      </c>
      <c r="B27" s="9" t="s">
        <v>449</v>
      </c>
      <c r="C27" s="49">
        <v>1.6</v>
      </c>
      <c r="D27" s="9" t="s">
        <v>450</v>
      </c>
      <c r="E27" s="49">
        <v>30000</v>
      </c>
      <c r="F27" s="9" t="s">
        <v>768</v>
      </c>
      <c r="G27" s="49">
        <v>5</v>
      </c>
      <c r="H27" s="9" t="s">
        <v>451</v>
      </c>
      <c r="I27" s="49">
        <v>500</v>
      </c>
      <c r="J27" s="9" t="s">
        <v>452</v>
      </c>
      <c r="K27" s="49">
        <f>23.5/30</f>
        <v>0.78333333333333333</v>
      </c>
      <c r="L27" s="9" t="s">
        <v>453</v>
      </c>
      <c r="M27" s="16">
        <f>Mission!C69/Mission!C62</f>
        <v>0.50124438756538592</v>
      </c>
      <c r="N27" s="9" t="s">
        <v>454</v>
      </c>
      <c r="O27" s="17">
        <f>IF(C27&lt;1,Aerodynamics!$I$7,Aerodynamics!$C$12)</f>
        <v>0.04</v>
      </c>
      <c r="P27" s="9" t="s">
        <v>455</v>
      </c>
      <c r="Q27" s="16">
        <f>IF(C27&lt;1,Aerodynamics!$I$9,Aerodynamics!$C$13)</f>
        <v>1.5</v>
      </c>
      <c r="R27" s="9" t="s">
        <v>754</v>
      </c>
      <c r="S27" s="15">
        <f>C27*SQRT(Atmosphere!$E$3*Atmosphere!$E$4*Atmosphere!$E$5*(390+Atmosphere!$E$9-IF(+E27&lt;36089,(36089-E27)*Atmosphere!$E$6,0)))</f>
        <v>1692.6359096682195</v>
      </c>
      <c r="T27" s="9" t="s">
        <v>759</v>
      </c>
      <c r="U27" s="16">
        <f>0.7*(1-6.875/1000000*E27)^5.2561*14.7*C27^2*144</f>
        <v>1126.5371784091994</v>
      </c>
      <c r="V27" s="4"/>
      <c r="W27" s="4"/>
      <c r="X27" s="4"/>
      <c r="Y27" s="4"/>
      <c r="Z27" s="4"/>
      <c r="AA27" s="4"/>
      <c r="AB27" s="4"/>
      <c r="AC27" s="4"/>
      <c r="AD27" s="4"/>
    </row>
    <row r="28" spans="1:30" ht="12.75" x14ac:dyDescent="0.2">
      <c r="A28" s="9" t="s">
        <v>456</v>
      </c>
      <c r="B28" s="9" t="s">
        <v>457</v>
      </c>
      <c r="C28" s="49">
        <v>0.7</v>
      </c>
      <c r="D28" s="9" t="s">
        <v>458</v>
      </c>
      <c r="E28" s="49">
        <v>30000</v>
      </c>
      <c r="F28" s="9" t="s">
        <v>769</v>
      </c>
      <c r="G28" s="49">
        <v>1</v>
      </c>
      <c r="H28" s="9" t="s">
        <v>459</v>
      </c>
      <c r="I28" s="49">
        <v>0</v>
      </c>
      <c r="J28" s="9" t="s">
        <v>460</v>
      </c>
      <c r="K28" s="49">
        <v>0.28000000000000003</v>
      </c>
      <c r="L28" s="9" t="s">
        <v>461</v>
      </c>
      <c r="M28" s="16">
        <f>Mission!C68/Mission!C62</f>
        <v>0.50124438756538592</v>
      </c>
      <c r="N28" s="9" t="s">
        <v>462</v>
      </c>
      <c r="O28" s="17">
        <f>IF(C28&lt;1,Aerodynamics!$I$7,Aerodynamics!$C$12)</f>
        <v>1.3914279478188714E-2</v>
      </c>
      <c r="P28" s="9" t="s">
        <v>463</v>
      </c>
      <c r="Q28" s="16">
        <f>IF(C28&lt;1,Aerodynamics!$I$9,Aerodynamics!$C$13)</f>
        <v>0.19894367886486919</v>
      </c>
      <c r="R28" s="9" t="s">
        <v>753</v>
      </c>
      <c r="S28" s="15">
        <f>C28*SQRT(Atmosphere!$E$3*Atmosphere!$E$4*Atmosphere!$E$5*(390+Atmosphere!$E$9-IF(+E28&lt;36089,(36089-E28)*Atmosphere!$E$6,0)))</f>
        <v>740.52821047984594</v>
      </c>
      <c r="T28" s="9" t="s">
        <v>758</v>
      </c>
      <c r="U28" s="16">
        <f>0.7*(1-6.875/1000000*E28)^5.2561*14.7*C28^2*144</f>
        <v>215.62625680488577</v>
      </c>
      <c r="V28" s="4"/>
      <c r="W28" s="4"/>
      <c r="X28" s="4"/>
      <c r="Y28" s="4"/>
      <c r="Z28" s="4"/>
      <c r="AA28" s="4"/>
      <c r="AB28" s="4"/>
      <c r="AC28" s="4"/>
      <c r="AD28" s="4"/>
    </row>
    <row r="29" spans="1:30" ht="12.75"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2.75" x14ac:dyDescent="0.2">
      <c r="A30" s="4"/>
      <c r="B30" s="29" t="s">
        <v>464</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4.25" x14ac:dyDescent="0.25">
      <c r="A31" s="41" t="s">
        <v>465</v>
      </c>
      <c r="B31" s="39" t="s">
        <v>466</v>
      </c>
      <c r="C31" s="42" t="s">
        <v>713</v>
      </c>
      <c r="D31" s="19" t="s">
        <v>48</v>
      </c>
      <c r="E31" s="19" t="s">
        <v>467</v>
      </c>
      <c r="F31" s="19" t="s">
        <v>739</v>
      </c>
      <c r="G31" s="19" t="s">
        <v>740</v>
      </c>
      <c r="H31" s="19" t="s">
        <v>470</v>
      </c>
      <c r="I31" s="19" t="s">
        <v>471</v>
      </c>
      <c r="J31" s="9" t="s">
        <v>472</v>
      </c>
      <c r="K31" s="19" t="s">
        <v>741</v>
      </c>
      <c r="L31" s="19" t="s">
        <v>742</v>
      </c>
      <c r="M31" s="9" t="s">
        <v>743</v>
      </c>
      <c r="N31" s="4"/>
      <c r="O31" s="4"/>
      <c r="P31" s="4"/>
      <c r="Q31" s="4"/>
      <c r="R31" s="4"/>
      <c r="S31" s="4"/>
      <c r="T31" s="4"/>
      <c r="U31" s="4"/>
      <c r="V31" s="4"/>
      <c r="W31" s="4"/>
      <c r="X31" s="4"/>
      <c r="Y31" s="4"/>
      <c r="Z31" s="4"/>
      <c r="AA31" s="4"/>
      <c r="AB31" s="4"/>
      <c r="AC31" s="4"/>
      <c r="AD31" s="4"/>
    </row>
    <row r="32" spans="1:30" ht="12.75" x14ac:dyDescent="0.2">
      <c r="A32" s="9" t="s">
        <v>473</v>
      </c>
      <c r="B32" s="14">
        <f>Propulsion!$C$5/(Propulsion!$C$5-1)</f>
        <v>2</v>
      </c>
      <c r="C32" s="14">
        <f>Aerodynamics!$I$7+$C$9+$C$10</f>
        <v>3.6414279478188712E-2</v>
      </c>
      <c r="D32" s="14">
        <f>Baseline!$C$20</f>
        <v>2</v>
      </c>
      <c r="E32" s="14">
        <f>Aerodynamics!$C$10-0.05</f>
        <v>0.75</v>
      </c>
      <c r="F32" s="14">
        <f>$C$8/1.21</f>
        <v>1.2396694214876034</v>
      </c>
      <c r="G32" s="14">
        <f t="shared" ref="G32:G38" si="0">C32+F32^2/(PI()*D32*E32)</f>
        <v>0.3625291823370686</v>
      </c>
      <c r="H32" s="14">
        <f t="shared" ref="H32:H38" si="1">F32/G32</f>
        <v>3.4195024342481664</v>
      </c>
      <c r="I32" s="14">
        <f>IF(Propulsion!$C$5&gt;2,(IF(Propulsion!$C$5&gt;3,0.5,0.3)),0)</f>
        <v>0</v>
      </c>
      <c r="J32" s="14">
        <f t="shared" ref="J32:J38" si="2">B32*(1/H32+I32/100)</f>
        <v>0.58488041417047065</v>
      </c>
      <c r="K32" s="14">
        <f>LORATIO</f>
        <v>0.75</v>
      </c>
      <c r="L32" s="14">
        <v>1</v>
      </c>
      <c r="M32" s="14">
        <f t="shared" ref="M32:M38" si="3">J32*L32/K32</f>
        <v>0.7798405522272942</v>
      </c>
      <c r="N32" s="4"/>
      <c r="O32" s="4"/>
      <c r="P32" s="4"/>
      <c r="Q32" s="4"/>
      <c r="R32" s="4"/>
      <c r="S32" s="4"/>
      <c r="T32" s="4"/>
      <c r="U32" s="4"/>
      <c r="V32" s="4"/>
      <c r="W32" s="4"/>
      <c r="X32" s="4"/>
      <c r="Y32" s="4"/>
      <c r="Z32" s="4"/>
      <c r="AA32" s="4"/>
      <c r="AB32" s="4"/>
      <c r="AC32" s="4"/>
      <c r="AD32" s="4"/>
    </row>
    <row r="33" spans="1:30" ht="14.25" x14ac:dyDescent="0.25">
      <c r="A33" s="9" t="s">
        <v>764</v>
      </c>
      <c r="B33" s="14">
        <f>Propulsion!$C$5/(Propulsion!$C$5-1)</f>
        <v>2</v>
      </c>
      <c r="C33" s="14">
        <f>Aerodynamics!$I$7+$C$9+$C$10</f>
        <v>3.6414279478188712E-2</v>
      </c>
      <c r="D33" s="14">
        <f>Baseline!$C$20</f>
        <v>2</v>
      </c>
      <c r="E33" s="14">
        <f>Aerodynamics!$C$10-0.05</f>
        <v>0.75</v>
      </c>
      <c r="F33" s="14">
        <f>$C$8/1.44</f>
        <v>1.0416666666666667</v>
      </c>
      <c r="G33" s="14">
        <f t="shared" si="0"/>
        <v>0.26667316705326882</v>
      </c>
      <c r="H33" s="14">
        <f t="shared" si="1"/>
        <v>3.9061547818142142</v>
      </c>
      <c r="I33" s="14">
        <f>IF(Propulsion!$C$5&gt;2,(IF(Propulsion!$C$5&gt;3,0.5,0.3)),0)</f>
        <v>0</v>
      </c>
      <c r="J33" s="14">
        <f t="shared" si="2"/>
        <v>0.51201248074227612</v>
      </c>
      <c r="K33" s="14">
        <f>LORATIO</f>
        <v>0.75</v>
      </c>
      <c r="L33" s="14">
        <v>1</v>
      </c>
      <c r="M33" s="14">
        <f t="shared" si="3"/>
        <v>0.6826833076563682</v>
      </c>
      <c r="N33" s="4"/>
      <c r="O33" s="4"/>
      <c r="P33" s="4"/>
      <c r="Q33" s="4"/>
      <c r="R33" s="4"/>
      <c r="S33" s="4"/>
      <c r="T33" s="4"/>
      <c r="U33" s="4"/>
      <c r="V33" s="4"/>
      <c r="W33" s="4"/>
      <c r="X33" s="4"/>
      <c r="Y33" s="4"/>
      <c r="Z33" s="4"/>
      <c r="AA33" s="4"/>
      <c r="AB33" s="4"/>
      <c r="AC33" s="4"/>
      <c r="AD33" s="4"/>
    </row>
    <row r="34" spans="1:30" ht="12.75" x14ac:dyDescent="0.2">
      <c r="A34" s="9" t="s">
        <v>474</v>
      </c>
      <c r="B34" s="14">
        <f>Propulsion!$C$5/(Propulsion!$C$5-1)</f>
        <v>2</v>
      </c>
      <c r="C34" s="14">
        <f>Aerodynamics!$I$7+$C$9</f>
        <v>2.1414279478188712E-2</v>
      </c>
      <c r="D34" s="14">
        <f>Baseline!$C$20</f>
        <v>2</v>
      </c>
      <c r="E34" s="14">
        <f>Aerodynamics!$C$10-0.05</f>
        <v>0.75</v>
      </c>
      <c r="F34" s="14">
        <f>$C$8/1.44</f>
        <v>1.0416666666666667</v>
      </c>
      <c r="G34" s="14">
        <f t="shared" si="0"/>
        <v>0.25167316705326881</v>
      </c>
      <c r="H34" s="14">
        <f t="shared" si="1"/>
        <v>4.1389659408791442</v>
      </c>
      <c r="I34" s="14">
        <f>IF(Propulsion!$C$5&gt;2,(IF(Propulsion!$C$5&gt;3,1.7,1.5)),1.2)</f>
        <v>1.2</v>
      </c>
      <c r="J34" s="14">
        <f t="shared" si="2"/>
        <v>0.5072124807422761</v>
      </c>
      <c r="K34" s="14">
        <f>LORATIO</f>
        <v>0.75</v>
      </c>
      <c r="L34" s="14">
        <v>1</v>
      </c>
      <c r="M34" s="14">
        <f t="shared" si="3"/>
        <v>0.67628330765636813</v>
      </c>
      <c r="N34" s="4"/>
      <c r="O34" s="4"/>
      <c r="P34" s="4"/>
      <c r="Q34" s="4"/>
      <c r="R34" s="4"/>
      <c r="S34" s="4"/>
      <c r="T34" s="4"/>
      <c r="U34" s="4"/>
      <c r="V34" s="4"/>
      <c r="W34" s="4"/>
      <c r="X34" s="4"/>
      <c r="Y34" s="4"/>
      <c r="Z34" s="4"/>
      <c r="AA34" s="4"/>
      <c r="AB34" s="4"/>
      <c r="AC34" s="4"/>
      <c r="AD34" s="4"/>
    </row>
    <row r="35" spans="1:30" ht="12.75" x14ac:dyDescent="0.2">
      <c r="A35" s="9" t="s">
        <v>475</v>
      </c>
      <c r="B35" s="14">
        <f>Propulsion!$C$5/(Propulsion!$C$5-1)</f>
        <v>2</v>
      </c>
      <c r="C35" s="14">
        <f>Aerodynamics!$I$7+$C$9</f>
        <v>2.1414279478188712E-2</v>
      </c>
      <c r="D35" s="14">
        <f>Baseline!$C$20</f>
        <v>2</v>
      </c>
      <c r="E35" s="14">
        <f>Aerodynamics!$C$10-0.05</f>
        <v>0.75</v>
      </c>
      <c r="F35" s="14">
        <f>$C$8/1.44</f>
        <v>1.0416666666666667</v>
      </c>
      <c r="G35" s="14">
        <f t="shared" si="0"/>
        <v>0.25167316705326881</v>
      </c>
      <c r="H35" s="14">
        <f t="shared" si="1"/>
        <v>4.1389659408791442</v>
      </c>
      <c r="I35" s="14">
        <f>IF(Propulsion!$C$5&gt;2,(IF(Propulsion!$C$5&gt;3,3,2.7)),2.4)</f>
        <v>2.4</v>
      </c>
      <c r="J35" s="14">
        <f t="shared" si="2"/>
        <v>0.53121248074227612</v>
      </c>
      <c r="K35" s="14">
        <f>LORATIO</f>
        <v>0.75</v>
      </c>
      <c r="L35" s="14">
        <v>1</v>
      </c>
      <c r="M35" s="14">
        <f t="shared" si="3"/>
        <v>0.70828330765636816</v>
      </c>
      <c r="N35" s="4"/>
      <c r="O35" s="4"/>
      <c r="P35" s="4"/>
      <c r="Q35" s="4"/>
      <c r="R35" s="4"/>
      <c r="S35" s="4"/>
      <c r="T35" s="4"/>
      <c r="U35" s="4"/>
      <c r="V35" s="4"/>
      <c r="W35" s="4"/>
      <c r="X35" s="4"/>
      <c r="Y35" s="4"/>
      <c r="Z35" s="4"/>
      <c r="AA35" s="4"/>
      <c r="AB35" s="4"/>
      <c r="AC35" s="4"/>
      <c r="AD35" s="4"/>
    </row>
    <row r="36" spans="1:30" ht="12.75" x14ac:dyDescent="0.2">
      <c r="A36" s="9" t="s">
        <v>476</v>
      </c>
      <c r="B36" s="14">
        <f>Propulsion!$C$5/(Propulsion!$C$5-1)</f>
        <v>2</v>
      </c>
      <c r="C36" s="14">
        <f>Aerodynamics!$I$7</f>
        <v>1.3914279478188714E-2</v>
      </c>
      <c r="D36" s="14">
        <f>Baseline!$C$20</f>
        <v>2</v>
      </c>
      <c r="E36" s="14">
        <f>Aerodynamics!$C$10</f>
        <v>0.8</v>
      </c>
      <c r="F36" s="14">
        <f>$C$8/1.56</f>
        <v>0.96153846153846145</v>
      </c>
      <c r="G36" s="14">
        <f t="shared" si="0"/>
        <v>0.1978488938133118</v>
      </c>
      <c r="H36" s="14">
        <f t="shared" si="1"/>
        <v>4.8599637986642437</v>
      </c>
      <c r="I36" s="14">
        <f>IF(Propulsion!$C$5&gt;2,(IF(Propulsion!$C$5&gt;3,1.7,1.5)),1.2)</f>
        <v>1.2</v>
      </c>
      <c r="J36" s="14">
        <f t="shared" si="2"/>
        <v>0.43552569913168865</v>
      </c>
      <c r="K36" s="14">
        <v>0.94</v>
      </c>
      <c r="L36" s="14">
        <v>1</v>
      </c>
      <c r="M36" s="14">
        <f t="shared" si="3"/>
        <v>0.46332521184222197</v>
      </c>
      <c r="N36" s="4"/>
      <c r="O36" s="4"/>
      <c r="P36" s="4"/>
      <c r="Q36" s="4"/>
      <c r="R36" s="4"/>
      <c r="S36" s="4"/>
      <c r="T36" s="4"/>
      <c r="U36" s="4"/>
      <c r="V36" s="4"/>
      <c r="W36" s="4"/>
      <c r="X36" s="4"/>
      <c r="Y36" s="4"/>
      <c r="Z36" s="4"/>
      <c r="AA36" s="4"/>
      <c r="AB36" s="4"/>
      <c r="AC36" s="4"/>
      <c r="AD36" s="4"/>
    </row>
    <row r="37" spans="1:30" ht="12.75" x14ac:dyDescent="0.2">
      <c r="A37" s="9" t="s">
        <v>477</v>
      </c>
      <c r="B37" s="14">
        <v>1</v>
      </c>
      <c r="C37" s="14">
        <f>Aerodynamics!$I$7+$C$14+$C$10</f>
        <v>5.3914279478188713E-2</v>
      </c>
      <c r="D37" s="14">
        <f>Baseline!$C$20</f>
        <v>2</v>
      </c>
      <c r="E37" s="14">
        <f>Aerodynamics!$C$10-0.1</f>
        <v>0.70000000000000007</v>
      </c>
      <c r="F37" s="14">
        <f>$C$8/1.69</f>
        <v>0.8875739644970414</v>
      </c>
      <c r="G37" s="14">
        <f t="shared" si="0"/>
        <v>0.23302896731763237</v>
      </c>
      <c r="H37" s="14">
        <f t="shared" si="1"/>
        <v>3.8088567902685901</v>
      </c>
      <c r="I37" s="14">
        <v>3.2</v>
      </c>
      <c r="J37" s="14">
        <f t="shared" si="2"/>
        <v>0.29454596984453252</v>
      </c>
      <c r="K37" s="14">
        <f>LORATIO</f>
        <v>0.75</v>
      </c>
      <c r="L37" s="14">
        <v>0.9</v>
      </c>
      <c r="M37" s="14">
        <f t="shared" si="3"/>
        <v>0.35345516381343905</v>
      </c>
      <c r="N37" s="4"/>
      <c r="O37" s="4"/>
      <c r="P37" s="4"/>
      <c r="Q37" s="4"/>
      <c r="R37" s="4"/>
      <c r="S37" s="4"/>
      <c r="T37" s="4"/>
      <c r="U37" s="4"/>
      <c r="V37" s="4"/>
      <c r="W37" s="4"/>
      <c r="X37" s="4"/>
      <c r="Y37" s="4"/>
      <c r="Z37" s="4"/>
      <c r="AA37" s="4"/>
      <c r="AB37" s="4"/>
      <c r="AC37" s="4"/>
      <c r="AD37" s="4"/>
    </row>
    <row r="38" spans="1:30" ht="12.75" x14ac:dyDescent="0.2">
      <c r="A38" s="9" t="s">
        <v>478</v>
      </c>
      <c r="B38" s="14">
        <f>Propulsion!$C$5/(Propulsion!$C$5-1)</f>
        <v>2</v>
      </c>
      <c r="C38" s="14">
        <f>[0]!CDO+(DELCDOLD+DELCDOTO)/2</f>
        <v>3.0164279478188713E-2</v>
      </c>
      <c r="D38" s="14">
        <f>Baseline!$C$20</f>
        <v>2</v>
      </c>
      <c r="E38" s="14">
        <f>Aerodynamics!$C$10-0.1</f>
        <v>0.70000000000000007</v>
      </c>
      <c r="F38" s="14">
        <f>$C$8/2.25</f>
        <v>0.66666666666666663</v>
      </c>
      <c r="G38" s="14">
        <f t="shared" si="0"/>
        <v>0.13121503699685241</v>
      </c>
      <c r="H38" s="14">
        <f t="shared" si="1"/>
        <v>5.0807185054763098</v>
      </c>
      <c r="I38" s="14">
        <f>IF(Propulsion!$C$5&gt;2,(IF(Propulsion!$C$5&gt;3,2.7,2.4)),2.1)</f>
        <v>2.1</v>
      </c>
      <c r="J38" s="14">
        <f t="shared" si="2"/>
        <v>0.43564511099055719</v>
      </c>
      <c r="K38" s="14">
        <f>LORATIO</f>
        <v>0.75</v>
      </c>
      <c r="L38" s="14">
        <v>0.9</v>
      </c>
      <c r="M38" s="14">
        <f t="shared" si="3"/>
        <v>0.52277413318866861</v>
      </c>
      <c r="N38" s="4"/>
      <c r="O38" s="4"/>
      <c r="P38" s="4"/>
      <c r="Q38" s="4"/>
      <c r="R38" s="4"/>
      <c r="S38" s="4"/>
      <c r="T38" s="4"/>
      <c r="U38" s="4"/>
      <c r="V38" s="4"/>
      <c r="W38" s="4"/>
      <c r="X38" s="4"/>
      <c r="Y38" s="4"/>
      <c r="Z38" s="4"/>
      <c r="AA38" s="4"/>
      <c r="AB38" s="4"/>
      <c r="AC38" s="4"/>
      <c r="AD38" s="4"/>
    </row>
    <row r="39" spans="1:30" ht="12.75" x14ac:dyDescent="0.2">
      <c r="A39" s="12"/>
      <c r="B39" s="12"/>
      <c r="C39" s="12"/>
      <c r="D39" s="12"/>
      <c r="E39" s="12"/>
      <c r="F39" s="12"/>
      <c r="G39" s="12"/>
      <c r="H39" s="12"/>
      <c r="I39" s="9" t="s">
        <v>479</v>
      </c>
      <c r="J39" s="12"/>
      <c r="K39" s="12"/>
      <c r="L39" s="9" t="s">
        <v>480</v>
      </c>
      <c r="M39" s="14">
        <f>MAX(M32:M38)</f>
        <v>0.7798405522272942</v>
      </c>
      <c r="N39" s="4"/>
      <c r="O39" s="4"/>
      <c r="P39" s="4"/>
      <c r="Q39" s="4"/>
      <c r="R39" s="4"/>
      <c r="S39" s="4"/>
      <c r="T39" s="4"/>
      <c r="U39" s="4"/>
      <c r="V39" s="4"/>
      <c r="W39" s="4"/>
      <c r="X39" s="4"/>
      <c r="Y39" s="4"/>
      <c r="Z39" s="4"/>
      <c r="AA39" s="4"/>
      <c r="AB39" s="4"/>
      <c r="AC39" s="4"/>
      <c r="AD39" s="4"/>
    </row>
    <row r="40" spans="1:30" ht="12.75"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x14ac:dyDescent="0.2">
      <c r="A42" s="4"/>
      <c r="B42" s="4"/>
      <c r="C42" s="4"/>
      <c r="D42" s="4"/>
      <c r="E42" s="4"/>
      <c r="F42" s="4"/>
      <c r="G42" s="4"/>
      <c r="H42" s="4"/>
      <c r="I42" s="4"/>
      <c r="J42" s="4"/>
      <c r="K42" s="4"/>
      <c r="L42" s="43" t="s">
        <v>481</v>
      </c>
      <c r="M42" s="4"/>
      <c r="N42" s="4"/>
      <c r="O42" s="4"/>
      <c r="P42" s="4"/>
      <c r="Q42" s="4"/>
      <c r="R42" s="4"/>
      <c r="S42" s="4"/>
      <c r="T42" s="4"/>
      <c r="U42" s="4"/>
      <c r="V42" s="4"/>
      <c r="W42" s="4"/>
      <c r="X42" s="4"/>
      <c r="Y42" s="4"/>
      <c r="Z42" s="4"/>
      <c r="AA42" s="4"/>
      <c r="AB42" s="4"/>
      <c r="AC42" s="4"/>
      <c r="AD42" s="4"/>
    </row>
    <row r="43" spans="1:30" ht="12.75" x14ac:dyDescent="0.2">
      <c r="A43" s="4"/>
      <c r="B43" s="4"/>
      <c r="C43" s="4"/>
      <c r="D43" s="4"/>
      <c r="E43" s="4"/>
      <c r="F43" s="4"/>
      <c r="G43" s="4"/>
      <c r="H43" s="4"/>
      <c r="I43" s="4"/>
      <c r="J43" s="4"/>
      <c r="K43" s="4"/>
      <c r="L43" s="43" t="s">
        <v>482</v>
      </c>
      <c r="M43" s="4"/>
      <c r="N43" s="4"/>
      <c r="O43" s="4"/>
      <c r="P43" s="4"/>
      <c r="Q43" s="4"/>
      <c r="R43" s="4"/>
      <c r="S43" s="4"/>
      <c r="T43" s="4"/>
      <c r="U43" s="4"/>
      <c r="V43" s="4"/>
      <c r="W43" s="4"/>
      <c r="X43" s="4"/>
      <c r="Y43" s="4"/>
      <c r="Z43" s="4"/>
      <c r="AA43" s="4"/>
      <c r="AB43" s="5"/>
      <c r="AC43" s="4"/>
      <c r="AD43" s="4"/>
    </row>
    <row r="44" spans="1:30" ht="12.75" x14ac:dyDescent="0.2">
      <c r="A44" s="5" t="s">
        <v>483</v>
      </c>
      <c r="B44" s="5" t="s">
        <v>484</v>
      </c>
      <c r="C44" s="11">
        <v>5</v>
      </c>
      <c r="D44" s="4"/>
      <c r="E44" s="4"/>
      <c r="F44" s="4"/>
      <c r="G44" s="4"/>
      <c r="H44" s="4"/>
      <c r="I44" s="4"/>
      <c r="J44" s="4"/>
      <c r="K44" s="4"/>
      <c r="L44" s="43" t="s">
        <v>372</v>
      </c>
      <c r="M44" s="4"/>
      <c r="N44" s="4"/>
      <c r="O44" s="4"/>
      <c r="P44" s="4"/>
      <c r="Q44" s="4"/>
      <c r="R44" s="4"/>
      <c r="S44" s="4"/>
      <c r="T44" s="4"/>
      <c r="U44" s="4"/>
      <c r="V44" s="4"/>
      <c r="W44" s="4"/>
      <c r="X44" s="4"/>
      <c r="Y44" s="118" t="s">
        <v>485</v>
      </c>
      <c r="Z44" s="118"/>
      <c r="AA44" s="118" t="s">
        <v>816</v>
      </c>
      <c r="AB44" s="118"/>
      <c r="AC44" s="4"/>
      <c r="AD44" s="4"/>
    </row>
    <row r="45" spans="1:30" ht="12.75" x14ac:dyDescent="0.2">
      <c r="A45" s="9" t="s">
        <v>486</v>
      </c>
      <c r="B45" s="12"/>
      <c r="C45" s="14">
        <f t="shared" ref="C45:K45" si="4">D45-$C$44</f>
        <v>15</v>
      </c>
      <c r="D45" s="14">
        <f t="shared" si="4"/>
        <v>20</v>
      </c>
      <c r="E45" s="14">
        <f t="shared" si="4"/>
        <v>25</v>
      </c>
      <c r="F45" s="14">
        <f t="shared" si="4"/>
        <v>30</v>
      </c>
      <c r="G45" s="14">
        <f t="shared" si="4"/>
        <v>35</v>
      </c>
      <c r="H45" s="14">
        <f t="shared" si="4"/>
        <v>40</v>
      </c>
      <c r="I45" s="14">
        <f t="shared" si="4"/>
        <v>45</v>
      </c>
      <c r="J45" s="14">
        <f t="shared" si="4"/>
        <v>50</v>
      </c>
      <c r="K45" s="14">
        <f t="shared" si="4"/>
        <v>55</v>
      </c>
      <c r="L45" s="14">
        <f>Baseline!$C$8</f>
        <v>60</v>
      </c>
      <c r="M45" s="14">
        <f t="shared" ref="M45:X45" si="5">L45+$C$44</f>
        <v>65</v>
      </c>
      <c r="N45" s="14">
        <f t="shared" si="5"/>
        <v>70</v>
      </c>
      <c r="O45" s="14">
        <f t="shared" si="5"/>
        <v>75</v>
      </c>
      <c r="P45" s="14">
        <f t="shared" si="5"/>
        <v>80</v>
      </c>
      <c r="Q45" s="14">
        <f t="shared" si="5"/>
        <v>85</v>
      </c>
      <c r="R45" s="14">
        <f t="shared" si="5"/>
        <v>90</v>
      </c>
      <c r="S45" s="14">
        <f t="shared" si="5"/>
        <v>95</v>
      </c>
      <c r="T45" s="14">
        <f t="shared" si="5"/>
        <v>100</v>
      </c>
      <c r="U45" s="14">
        <f t="shared" si="5"/>
        <v>105</v>
      </c>
      <c r="V45" s="14">
        <f t="shared" si="5"/>
        <v>110</v>
      </c>
      <c r="W45" s="14">
        <f t="shared" si="5"/>
        <v>115</v>
      </c>
      <c r="X45" s="14">
        <f t="shared" si="5"/>
        <v>120</v>
      </c>
      <c r="Y45" s="14">
        <f>$I$14</f>
        <v>142.10168553556755</v>
      </c>
      <c r="Z45" s="14">
        <f>$I$14</f>
        <v>142.10168553556755</v>
      </c>
      <c r="AA45" s="14">
        <f>$U$25*$C$19/$G$25</f>
        <v>87.468250794658715</v>
      </c>
      <c r="AB45" s="14">
        <f>$U$25*$C$19/$G$25</f>
        <v>87.468250794658715</v>
      </c>
      <c r="AC45" s="4"/>
      <c r="AD45" s="4"/>
    </row>
    <row r="46" spans="1:30" ht="12.75" x14ac:dyDescent="0.2">
      <c r="A46" s="9" t="s">
        <v>487</v>
      </c>
      <c r="B46" s="12"/>
      <c r="C46" s="14">
        <f t="shared" ref="C46:X46" si="6">IF(C45&gt;$I$14,0,1)</f>
        <v>1</v>
      </c>
      <c r="D46" s="14">
        <f t="shared" si="6"/>
        <v>1</v>
      </c>
      <c r="E46" s="14">
        <f t="shared" si="6"/>
        <v>1</v>
      </c>
      <c r="F46" s="14">
        <f t="shared" si="6"/>
        <v>1</v>
      </c>
      <c r="G46" s="14">
        <f t="shared" si="6"/>
        <v>1</v>
      </c>
      <c r="H46" s="14">
        <f t="shared" si="6"/>
        <v>1</v>
      </c>
      <c r="I46" s="14">
        <f t="shared" si="6"/>
        <v>1</v>
      </c>
      <c r="J46" s="14">
        <f t="shared" si="6"/>
        <v>1</v>
      </c>
      <c r="K46" s="14">
        <f t="shared" si="6"/>
        <v>1</v>
      </c>
      <c r="L46" s="14">
        <f t="shared" si="6"/>
        <v>1</v>
      </c>
      <c r="M46" s="14">
        <f t="shared" si="6"/>
        <v>1</v>
      </c>
      <c r="N46" s="14">
        <f t="shared" si="6"/>
        <v>1</v>
      </c>
      <c r="O46" s="14">
        <f t="shared" si="6"/>
        <v>1</v>
      </c>
      <c r="P46" s="14">
        <f t="shared" si="6"/>
        <v>1</v>
      </c>
      <c r="Q46" s="14">
        <f t="shared" si="6"/>
        <v>1</v>
      </c>
      <c r="R46" s="14">
        <f t="shared" si="6"/>
        <v>1</v>
      </c>
      <c r="S46" s="14">
        <f t="shared" si="6"/>
        <v>1</v>
      </c>
      <c r="T46" s="14">
        <f t="shared" si="6"/>
        <v>1</v>
      </c>
      <c r="U46" s="14">
        <f t="shared" si="6"/>
        <v>1</v>
      </c>
      <c r="V46" s="14">
        <f t="shared" si="6"/>
        <v>1</v>
      </c>
      <c r="W46" s="14">
        <f t="shared" si="6"/>
        <v>1</v>
      </c>
      <c r="X46" s="14">
        <f t="shared" si="6"/>
        <v>1</v>
      </c>
      <c r="Y46" s="12"/>
      <c r="Z46" s="12"/>
      <c r="AA46" s="12"/>
      <c r="AB46" s="12"/>
      <c r="AC46" s="4"/>
      <c r="AD46" s="4"/>
    </row>
    <row r="47" spans="1:30" ht="12.75" x14ac:dyDescent="0.2">
      <c r="A47" s="9" t="s">
        <v>488</v>
      </c>
      <c r="B47" s="12"/>
      <c r="C47" s="14">
        <f t="shared" ref="C47:X47" si="7">C45/($I$8*$C$8)</f>
        <v>9.9999851272917741</v>
      </c>
      <c r="D47" s="14">
        <f t="shared" si="7"/>
        <v>13.333313503055699</v>
      </c>
      <c r="E47" s="14">
        <f t="shared" si="7"/>
        <v>16.666641878819625</v>
      </c>
      <c r="F47" s="14">
        <f t="shared" si="7"/>
        <v>19.999970254583548</v>
      </c>
      <c r="G47" s="14">
        <f t="shared" si="7"/>
        <v>23.333298630347475</v>
      </c>
      <c r="H47" s="14">
        <f t="shared" si="7"/>
        <v>26.666627006111398</v>
      </c>
      <c r="I47" s="14">
        <f t="shared" si="7"/>
        <v>29.999955381875324</v>
      </c>
      <c r="J47" s="14">
        <f t="shared" si="7"/>
        <v>33.333283757639251</v>
      </c>
      <c r="K47" s="14">
        <f t="shared" si="7"/>
        <v>36.666612133403177</v>
      </c>
      <c r="L47" s="14">
        <f t="shared" si="7"/>
        <v>39.999940509167097</v>
      </c>
      <c r="M47" s="14">
        <f t="shared" si="7"/>
        <v>43.333268884931023</v>
      </c>
      <c r="N47" s="14">
        <f t="shared" si="7"/>
        <v>46.66659726069495</v>
      </c>
      <c r="O47" s="14">
        <f t="shared" si="7"/>
        <v>49.999925636458876</v>
      </c>
      <c r="P47" s="14">
        <f t="shared" si="7"/>
        <v>53.333254012222795</v>
      </c>
      <c r="Q47" s="14">
        <f t="shared" si="7"/>
        <v>56.666582387986722</v>
      </c>
      <c r="R47" s="14">
        <f t="shared" si="7"/>
        <v>59.999910763750648</v>
      </c>
      <c r="S47" s="14">
        <f t="shared" si="7"/>
        <v>63.333239139514575</v>
      </c>
      <c r="T47" s="14">
        <f t="shared" si="7"/>
        <v>66.666567515278501</v>
      </c>
      <c r="U47" s="14">
        <f t="shared" si="7"/>
        <v>69.999895891042428</v>
      </c>
      <c r="V47" s="14">
        <f t="shared" si="7"/>
        <v>73.333224266806354</v>
      </c>
      <c r="W47" s="14">
        <f t="shared" si="7"/>
        <v>76.666552642570267</v>
      </c>
      <c r="X47" s="14">
        <f t="shared" si="7"/>
        <v>79.999881018334193</v>
      </c>
      <c r="Y47" s="12"/>
      <c r="Z47" s="12"/>
      <c r="AA47" s="12"/>
      <c r="AB47" s="12"/>
      <c r="AC47" s="4"/>
      <c r="AD47" s="4"/>
    </row>
    <row r="48" spans="1:30" ht="12.75"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4"/>
      <c r="AD48" s="4"/>
    </row>
    <row r="49" spans="1:30" ht="12.75" x14ac:dyDescent="0.2">
      <c r="A49" s="9" t="s">
        <v>489</v>
      </c>
      <c r="B49" s="12"/>
      <c r="C49" s="14">
        <f>1/Propulsion!$C$8*20.9*C47/($C$7-87*SQRT(C47))</f>
        <v>6.5958350798381971E-2</v>
      </c>
      <c r="D49" s="14">
        <f>1/Propulsion!$C$8*20.9*D47/($C$7-87*SQRT(D47))</f>
        <v>8.8839424178499729E-2</v>
      </c>
      <c r="E49" s="14">
        <f>1/Propulsion!$C$8*20.9*E47/($C$7-87*SQRT(E47))</f>
        <v>0.11205390760075808</v>
      </c>
      <c r="F49" s="14">
        <f>1/Propulsion!$C$8*20.9*F47/($C$7-87*SQRT(F47))</f>
        <v>0.13557352115850924</v>
      </c>
      <c r="G49" s="14">
        <f>1/Propulsion!$C$8*20.9*G47/($C$7-87*SQRT(G47))</f>
        <v>0.15937770537574517</v>
      </c>
      <c r="H49" s="14">
        <f>1/Propulsion!$C$8*20.9*H47/($C$7-87*SQRT(H47))</f>
        <v>0.18345069242230033</v>
      </c>
      <c r="I49" s="14">
        <f>1/Propulsion!$C$8*20.9*I47/($C$7-87*SQRT(I47))</f>
        <v>0.20777993113478804</v>
      </c>
      <c r="J49" s="14">
        <f>1/Propulsion!$C$8*20.9*J47/($C$7-87*SQRT(J47))</f>
        <v>0.23235515347632851</v>
      </c>
      <c r="K49" s="14">
        <f>1/Propulsion!$C$8*20.9*K47/($C$7-87*SQRT(K47))</f>
        <v>0.25716778107767735</v>
      </c>
      <c r="L49" s="14">
        <f>1/Propulsion!$C$8*20.9*L47/($C$7-87*SQRT(L47))</f>
        <v>0.2822105274332522</v>
      </c>
      <c r="M49" s="14">
        <f>1/Propulsion!$C$8*20.9*M47/($C$7-87*SQRT(M47))</f>
        <v>0.30747711990842791</v>
      </c>
      <c r="N49" s="14">
        <f>1/Propulsion!$C$8*20.9*N47/($C$7-87*SQRT(N47))</f>
        <v>0.3329620988278702</v>
      </c>
      <c r="O49" s="14">
        <f>1/Propulsion!$C$8*20.9*O47/($C$7-87*SQRT(O47))</f>
        <v>0.358660668184415</v>
      </c>
      <c r="P49" s="14">
        <f>1/Propulsion!$C$8*20.9*P47/($C$7-87*SQRT(P47))</f>
        <v>0.38456858208809996</v>
      </c>
      <c r="Q49" s="14">
        <f>1/Propulsion!$C$8*20.9*Q47/($C$7-87*SQRT(Q47))</f>
        <v>0.41068205666542862</v>
      </c>
      <c r="R49" s="14">
        <f>1/Propulsion!$C$8*20.9*R47/($C$7-87*SQRT(R47))</f>
        <v>0.43699770052250109</v>
      </c>
      <c r="S49" s="14">
        <f>1/Propulsion!$C$8*20.9*S47/($C$7-87*SQRT(S47))</f>
        <v>0.46351245903380045</v>
      </c>
      <c r="T49" s="14">
        <f>1/Propulsion!$C$8*20.9*T47/($C$7-87*SQRT(T47))</f>
        <v>0.49022356911698339</v>
      </c>
      <c r="U49" s="14">
        <f>1/Propulsion!$C$8*20.9*U47/($C$7-87*SQRT(U47))</f>
        <v>0.51712852208950544</v>
      </c>
      <c r="V49" s="14">
        <f>1/Propulsion!$C$8*20.9*V47/($C$7-87*SQRT(V47))</f>
        <v>0.54422503284370727</v>
      </c>
      <c r="W49" s="14">
        <f>1/Propulsion!$C$8*20.9*W47/($C$7-87*SQRT(W47))</f>
        <v>0.57151101402527071</v>
      </c>
      <c r="X49" s="14">
        <f>1/Propulsion!$C$8*20.9*X47/($C$7-87*SQRT(X47))</f>
        <v>0.59898455421951768</v>
      </c>
      <c r="Y49" s="12"/>
      <c r="Z49" s="12"/>
      <c r="AA49" s="12"/>
      <c r="AB49" s="12"/>
      <c r="AC49" s="4"/>
      <c r="AD49" s="4"/>
    </row>
    <row r="50" spans="1:30" ht="12.75" x14ac:dyDescent="0.2">
      <c r="A50" s="9" t="s">
        <v>485</v>
      </c>
      <c r="B50" s="12"/>
      <c r="C50" s="12"/>
      <c r="D50" s="12"/>
      <c r="E50" s="12"/>
      <c r="F50" s="12"/>
      <c r="G50" s="12"/>
      <c r="H50" s="12"/>
      <c r="I50" s="12"/>
      <c r="J50" s="12"/>
      <c r="K50" s="12"/>
      <c r="L50" s="12"/>
      <c r="M50" s="12"/>
      <c r="N50" s="12"/>
      <c r="O50" s="12"/>
      <c r="P50" s="12"/>
      <c r="Q50" s="12"/>
      <c r="R50" s="12"/>
      <c r="S50" s="12"/>
      <c r="T50" s="12"/>
      <c r="U50" s="12"/>
      <c r="V50" s="12"/>
      <c r="W50" s="12"/>
      <c r="X50" s="12"/>
      <c r="Y50" s="14">
        <v>0</v>
      </c>
      <c r="Z50" s="14">
        <f>MAX(C49:X59)</f>
        <v>4.2612301095745337</v>
      </c>
      <c r="AA50" s="12"/>
      <c r="AB50" s="12"/>
      <c r="AC50" s="4"/>
      <c r="AD50" s="4"/>
    </row>
    <row r="51" spans="1:30" ht="12.75" x14ac:dyDescent="0.2">
      <c r="A51" s="9" t="s">
        <v>490</v>
      </c>
      <c r="B51" s="12"/>
      <c r="C51" s="12"/>
      <c r="D51" s="12"/>
      <c r="E51" s="12"/>
      <c r="F51" s="12"/>
      <c r="G51" s="12"/>
      <c r="H51" s="12"/>
      <c r="I51" s="12"/>
      <c r="J51" s="12"/>
      <c r="K51" s="12"/>
      <c r="L51" s="12"/>
      <c r="M51" s="12"/>
      <c r="N51" s="12"/>
      <c r="O51" s="12"/>
      <c r="P51" s="12"/>
      <c r="Q51" s="12"/>
      <c r="R51" s="12"/>
      <c r="S51" s="12"/>
      <c r="T51" s="12"/>
      <c r="U51" s="12"/>
      <c r="V51" s="12"/>
      <c r="W51" s="12"/>
      <c r="X51" s="12"/>
      <c r="Y51" s="14">
        <v>0</v>
      </c>
      <c r="Z51" s="14">
        <f>MAX(C49:X55)</f>
        <v>0.7798405522272942</v>
      </c>
      <c r="AA51" s="12"/>
      <c r="AB51" s="12"/>
      <c r="AC51" s="4"/>
      <c r="AD51" s="4"/>
    </row>
    <row r="52" spans="1:30" ht="12.75" x14ac:dyDescent="0.2">
      <c r="A52" s="9" t="s">
        <v>491</v>
      </c>
      <c r="B52" s="12"/>
      <c r="C52" s="14">
        <f>37.5*C45/(Atmosphere!$H$18*$C$8*$C$7)</f>
        <v>9.2008731482552536E-2</v>
      </c>
      <c r="D52" s="14">
        <f>37.5*D45/(Atmosphere!$H$18*$C$8*$C$7)</f>
        <v>0.12267830864340337</v>
      </c>
      <c r="E52" s="14">
        <f>37.5*E45/(Atmosphere!$H$18*$C$8*$C$7)</f>
        <v>0.15334788580425424</v>
      </c>
      <c r="F52" s="14">
        <f>37.5*F45/(Atmosphere!$H$18*$C$8*$C$7)</f>
        <v>0.18401746296510507</v>
      </c>
      <c r="G52" s="14">
        <f>37.5*G45/(Atmosphere!$H$18*$C$8*$C$7)</f>
        <v>0.21468704012595591</v>
      </c>
      <c r="H52" s="14">
        <f>37.5*H45/(Atmosphere!$H$18*$C$8*$C$7)</f>
        <v>0.24535661728680674</v>
      </c>
      <c r="I52" s="14">
        <f>37.5*I45/(Atmosphere!$H$18*$C$8*$C$7)</f>
        <v>0.27602619444765758</v>
      </c>
      <c r="J52" s="14">
        <f>37.5*J45/(Atmosphere!$H$18*$C$8*$C$7)</f>
        <v>0.30669577160850847</v>
      </c>
      <c r="K52" s="14">
        <f>37.5*K45/(Atmosphere!$H$18*$C$8*$C$7)</f>
        <v>0.33736534876935931</v>
      </c>
      <c r="L52" s="14">
        <f>37.5*L45/(Atmosphere!$H$18*$C$8*$C$7)</f>
        <v>0.36803492593021014</v>
      </c>
      <c r="M52" s="14">
        <f>37.5*M45/(Atmosphere!$H$18*$C$8*$C$7)</f>
        <v>0.39870450309106098</v>
      </c>
      <c r="N52" s="14">
        <f>37.5*N45/(Atmosphere!$H$18*$C$8*$C$7)</f>
        <v>0.42937408025191182</v>
      </c>
      <c r="O52" s="14">
        <f>37.5*O45/(Atmosphere!$H$18*$C$8*$C$7)</f>
        <v>0.46004365741276265</v>
      </c>
      <c r="P52" s="14">
        <f>37.5*P45/(Atmosphere!$H$18*$C$8*$C$7)</f>
        <v>0.49071323457361349</v>
      </c>
      <c r="Q52" s="14">
        <f>37.5*Q45/(Atmosphere!$H$18*$C$8*$C$7)</f>
        <v>0.52138281173446432</v>
      </c>
      <c r="R52" s="14">
        <f>37.5*R45/(Atmosphere!$H$18*$C$8*$C$7)</f>
        <v>0.55205238889531516</v>
      </c>
      <c r="S52" s="14">
        <f>37.5*S45/(Atmosphere!$H$18*$C$8*$C$7)</f>
        <v>0.582721966056166</v>
      </c>
      <c r="T52" s="14">
        <f>37.5*T45/(Atmosphere!$H$18*$C$8*$C$7)</f>
        <v>0.61339154321701694</v>
      </c>
      <c r="U52" s="14">
        <f>37.5*U45/(Atmosphere!$H$18*$C$8*$C$7)</f>
        <v>0.64406112037786778</v>
      </c>
      <c r="V52" s="14">
        <f>37.5*V45/(Atmosphere!$H$18*$C$8*$C$7)</f>
        <v>0.67473069753871862</v>
      </c>
      <c r="W52" s="14">
        <f>37.5*W45/(Atmosphere!$H$18*$C$8*$C$7)</f>
        <v>0.70540027469956945</v>
      </c>
      <c r="X52" s="14">
        <f>37.5*X45/(Atmosphere!$H$18*$C$8*$C$7)</f>
        <v>0.73606985186042029</v>
      </c>
      <c r="Y52" s="12"/>
      <c r="Z52" s="12"/>
      <c r="AA52" s="12"/>
      <c r="AB52" s="12"/>
      <c r="AC52" s="4"/>
      <c r="AD52" s="4"/>
    </row>
    <row r="53" spans="1:30" ht="12.75" x14ac:dyDescent="0.2">
      <c r="A53" s="9" t="s">
        <v>492</v>
      </c>
      <c r="B53" s="12"/>
      <c r="C53" s="14">
        <f t="shared" ref="C53:X53" si="8">$M39</f>
        <v>0.7798405522272942</v>
      </c>
      <c r="D53" s="14">
        <f t="shared" si="8"/>
        <v>0.7798405522272942</v>
      </c>
      <c r="E53" s="14">
        <f t="shared" si="8"/>
        <v>0.7798405522272942</v>
      </c>
      <c r="F53" s="14">
        <f t="shared" si="8"/>
        <v>0.7798405522272942</v>
      </c>
      <c r="G53" s="14">
        <f t="shared" si="8"/>
        <v>0.7798405522272942</v>
      </c>
      <c r="H53" s="14">
        <f t="shared" si="8"/>
        <v>0.7798405522272942</v>
      </c>
      <c r="I53" s="14">
        <f t="shared" si="8"/>
        <v>0.7798405522272942</v>
      </c>
      <c r="J53" s="14">
        <f t="shared" si="8"/>
        <v>0.7798405522272942</v>
      </c>
      <c r="K53" s="14">
        <f t="shared" si="8"/>
        <v>0.7798405522272942</v>
      </c>
      <c r="L53" s="14">
        <f t="shared" si="8"/>
        <v>0.7798405522272942</v>
      </c>
      <c r="M53" s="14">
        <f t="shared" si="8"/>
        <v>0.7798405522272942</v>
      </c>
      <c r="N53" s="14">
        <f t="shared" si="8"/>
        <v>0.7798405522272942</v>
      </c>
      <c r="O53" s="14">
        <f t="shared" si="8"/>
        <v>0.7798405522272942</v>
      </c>
      <c r="P53" s="14">
        <f t="shared" si="8"/>
        <v>0.7798405522272942</v>
      </c>
      <c r="Q53" s="14">
        <f t="shared" si="8"/>
        <v>0.7798405522272942</v>
      </c>
      <c r="R53" s="14">
        <f t="shared" si="8"/>
        <v>0.7798405522272942</v>
      </c>
      <c r="S53" s="14">
        <f t="shared" si="8"/>
        <v>0.7798405522272942</v>
      </c>
      <c r="T53" s="14">
        <f t="shared" si="8"/>
        <v>0.7798405522272942</v>
      </c>
      <c r="U53" s="14">
        <f t="shared" si="8"/>
        <v>0.7798405522272942</v>
      </c>
      <c r="V53" s="14">
        <f t="shared" si="8"/>
        <v>0.7798405522272942</v>
      </c>
      <c r="W53" s="14">
        <f t="shared" si="8"/>
        <v>0.7798405522272942</v>
      </c>
      <c r="X53" s="14">
        <f t="shared" si="8"/>
        <v>0.7798405522272942</v>
      </c>
      <c r="Y53" s="12"/>
      <c r="Z53" s="12"/>
      <c r="AA53" s="12"/>
      <c r="AB53" s="12"/>
      <c r="AC53" s="4"/>
      <c r="AD53" s="4"/>
    </row>
    <row r="54" spans="1:30" ht="12.75" x14ac:dyDescent="0.2">
      <c r="A54" s="9" t="s">
        <v>763</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4"/>
      <c r="AD54" s="4"/>
    </row>
    <row r="55" spans="1:30" ht="12.75" x14ac:dyDescent="0.2">
      <c r="A55" s="14" t="str">
        <f>A28</f>
        <v>Cruise Mach req'm't</v>
      </c>
      <c r="B55" s="12"/>
      <c r="C55" s="14">
        <f t="shared" ref="C55:X55" si="9">1/TOTREF5*WOWREF5*(_SEP5/_VEE5+_QUE5/C$45/WOWREF5*_CDO5+_GEE5^2*_KAY5*(C$45*WOWREF5/_QUE5))</f>
        <v>0.72677159407917724</v>
      </c>
      <c r="D55" s="14">
        <f t="shared" si="9"/>
        <v>0.55232268099183746</v>
      </c>
      <c r="E55" s="14">
        <f t="shared" si="9"/>
        <v>0.44930910123828049</v>
      </c>
      <c r="F55" s="14">
        <f t="shared" si="9"/>
        <v>0.38201318815161467</v>
      </c>
      <c r="G55" s="14">
        <f t="shared" si="9"/>
        <v>0.33512737030317258</v>
      </c>
      <c r="H55" s="14">
        <f t="shared" si="9"/>
        <v>0.30099786197862016</v>
      </c>
      <c r="I55" s="14">
        <f t="shared" si="9"/>
        <v>0.27537256000332772</v>
      </c>
      <c r="J55" s="14">
        <f t="shared" si="9"/>
        <v>0.25570020247251707</v>
      </c>
      <c r="K55" s="14">
        <f t="shared" si="9"/>
        <v>0.24035725908314773</v>
      </c>
      <c r="L55" s="14">
        <f t="shared" si="9"/>
        <v>0.22826137629985951</v>
      </c>
      <c r="M55" s="14">
        <f t="shared" si="9"/>
        <v>0.21866323244432589</v>
      </c>
      <c r="N55" s="14">
        <f t="shared" si="9"/>
        <v>0.21102759774631383</v>
      </c>
      <c r="O55" s="14">
        <f t="shared" si="9"/>
        <v>0.20496197037431893</v>
      </c>
      <c r="P55" s="14">
        <f t="shared" si="9"/>
        <v>0.20017197395471295</v>
      </c>
      <c r="Q55" s="14">
        <f t="shared" si="9"/>
        <v>0.19643249714295677</v>
      </c>
      <c r="R55" s="14">
        <f t="shared" si="9"/>
        <v>0.19356845333774206</v>
      </c>
      <c r="S55" s="14">
        <f t="shared" si="9"/>
        <v>0.19144161627487805</v>
      </c>
      <c r="T55" s="14">
        <f t="shared" si="9"/>
        <v>0.18994140494301212</v>
      </c>
      <c r="U55" s="14">
        <f t="shared" si="9"/>
        <v>0.18897830138057309</v>
      </c>
      <c r="V55" s="14">
        <f t="shared" si="9"/>
        <v>0.18847906361900285</v>
      </c>
      <c r="W55" s="14">
        <f t="shared" si="9"/>
        <v>0.18838318742340537</v>
      </c>
      <c r="X55" s="14">
        <f t="shared" si="9"/>
        <v>0.18864025259803407</v>
      </c>
      <c r="Y55" s="12"/>
      <c r="Z55" s="12"/>
      <c r="AA55" s="12"/>
      <c r="AB55" s="12"/>
      <c r="AC55" s="4"/>
      <c r="AD55" s="4"/>
    </row>
    <row r="56" spans="1:30" ht="12.75" x14ac:dyDescent="0.2">
      <c r="A56" s="14" t="str">
        <f>A24</f>
        <v>Sustained load factor [g]</v>
      </c>
      <c r="B56" s="12"/>
      <c r="C56" s="14">
        <f t="shared" ref="C56:X56" si="10">1/TOTREF1*WOWREF1*(_SEP1/_VEE1+_QUE1/C$45/WOWREF1*_CDO1+_GEE1^2*_KAY1*(C$45*WOWREF1/_QUE1))</f>
        <v>4.2020365061377056</v>
      </c>
      <c r="D56" s="14">
        <f t="shared" si="10"/>
        <v>3.3066737581571486</v>
      </c>
      <c r="E56" s="14">
        <f t="shared" si="10"/>
        <v>2.8049181387525572</v>
      </c>
      <c r="F56" s="14">
        <f t="shared" si="10"/>
        <v>2.4999660836359472</v>
      </c>
      <c r="G56" s="14">
        <f t="shared" si="10"/>
        <v>2.3074732081124694</v>
      </c>
      <c r="H56" s="14">
        <f t="shared" si="10"/>
        <v>2.1852673198347001</v>
      </c>
      <c r="I56" s="14">
        <f t="shared" si="10"/>
        <v>2.1099194230540692</v>
      </c>
      <c r="J56" s="14">
        <f t="shared" si="10"/>
        <v>2.0673721203214357</v>
      </c>
      <c r="K56" s="14">
        <f t="shared" si="10"/>
        <v>2.0486797950782543</v>
      </c>
      <c r="L56" s="14">
        <f t="shared" si="10"/>
        <v>2.0478787029521621</v>
      </c>
      <c r="M56" s="14">
        <f t="shared" si="10"/>
        <v>2.0608400978392152</v>
      </c>
      <c r="N56" s="14">
        <f t="shared" si="10"/>
        <v>2.0846148753794549</v>
      </c>
      <c r="O56" s="14">
        <f t="shared" si="10"/>
        <v>2.1170403590422429</v>
      </c>
      <c r="P56" s="14">
        <f t="shared" si="10"/>
        <v>2.1564945414296015</v>
      </c>
      <c r="Q56" s="14">
        <f t="shared" si="10"/>
        <v>2.2017370639430776</v>
      </c>
      <c r="R56" s="14">
        <f t="shared" si="10"/>
        <v>2.2518032032283175</v>
      </c>
      <c r="S56" s="14">
        <f t="shared" si="10"/>
        <v>2.3059313355845172</v>
      </c>
      <c r="T56" s="14">
        <f t="shared" si="10"/>
        <v>2.3635121620510327</v>
      </c>
      <c r="U56" s="14">
        <f t="shared" si="10"/>
        <v>2.4240524406121033</v>
      </c>
      <c r="V56" s="14">
        <f t="shared" si="10"/>
        <v>2.4871486096184729</v>
      </c>
      <c r="W56" s="14">
        <f t="shared" si="10"/>
        <v>2.5524672920555371</v>
      </c>
      <c r="X56" s="14">
        <f t="shared" si="10"/>
        <v>2.6197306737444586</v>
      </c>
      <c r="Y56" s="12"/>
      <c r="Z56" s="12"/>
      <c r="AA56" s="12"/>
      <c r="AB56" s="12"/>
      <c r="AC56" s="4"/>
      <c r="AD56" s="4"/>
    </row>
    <row r="57" spans="1:30" ht="12.75" x14ac:dyDescent="0.2">
      <c r="A57" s="14" t="str">
        <f>A25</f>
        <v>Inst. turn rate [°/sec]</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4">
        <v>0</v>
      </c>
      <c r="AB57" s="14">
        <f>MAX(C49:X59)</f>
        <v>4.2612301095745337</v>
      </c>
      <c r="AC57" s="4"/>
      <c r="AD57" s="4"/>
    </row>
    <row r="58" spans="1:30" ht="12.75" x14ac:dyDescent="0.2">
      <c r="A58" s="14" t="str">
        <f>A26</f>
        <v>SEP @1g [ft/sec]</v>
      </c>
      <c r="B58" s="12"/>
      <c r="C58" s="14">
        <f t="shared" ref="C58:X58" si="11">1/$K26*$M26*($I26/$S26+$U26/C$45/$M26*($O$26+$Q$26*(C$45*$M26*$G26/$U26)^2))</f>
        <v>4.2612301095745337</v>
      </c>
      <c r="D58" s="14">
        <f t="shared" si="11"/>
        <v>3.280758491072997</v>
      </c>
      <c r="E58" s="14">
        <f t="shared" si="11"/>
        <v>2.6938940011474251</v>
      </c>
      <c r="F58" s="14">
        <f t="shared" si="11"/>
        <v>2.3038330755098348</v>
      </c>
      <c r="G58" s="14">
        <f t="shared" si="11"/>
        <v>2.0262313294653773</v>
      </c>
      <c r="H58" s="14">
        <f t="shared" si="11"/>
        <v>1.8189165706666279</v>
      </c>
      <c r="I58" s="14">
        <f t="shared" si="11"/>
        <v>1.6584598033650169</v>
      </c>
      <c r="J58" s="14">
        <f t="shared" si="11"/>
        <v>1.530803630111403</v>
      </c>
      <c r="K58" s="14">
        <f t="shared" si="11"/>
        <v>1.4270024343472414</v>
      </c>
      <c r="L58" s="14">
        <f t="shared" si="11"/>
        <v>1.3410924717001691</v>
      </c>
      <c r="M58" s="14">
        <f t="shared" si="11"/>
        <v>1.2689449960662424</v>
      </c>
      <c r="N58" s="14">
        <f t="shared" si="11"/>
        <v>1.2076109030855018</v>
      </c>
      <c r="O58" s="14">
        <f t="shared" si="11"/>
        <v>1.1549275162273094</v>
      </c>
      <c r="P58" s="14">
        <f t="shared" si="11"/>
        <v>1.1092728280936883</v>
      </c>
      <c r="Q58" s="14">
        <f t="shared" si="11"/>
        <v>1.069406480086184</v>
      </c>
      <c r="R58" s="14">
        <f t="shared" si="11"/>
        <v>1.0343637488504442</v>
      </c>
      <c r="S58" s="14">
        <f t="shared" si="11"/>
        <v>1.0033830106856636</v>
      </c>
      <c r="T58" s="14">
        <f t="shared" si="11"/>
        <v>0.97585496663119831</v>
      </c>
      <c r="U58" s="14">
        <f t="shared" si="11"/>
        <v>0.95128637467128929</v>
      </c>
      <c r="V58" s="14">
        <f t="shared" si="11"/>
        <v>0.92927367315667886</v>
      </c>
      <c r="W58" s="14">
        <f t="shared" si="11"/>
        <v>0.90948348507276267</v>
      </c>
      <c r="X58" s="14">
        <f t="shared" si="11"/>
        <v>0.89163799624070406</v>
      </c>
      <c r="Y58" s="12"/>
      <c r="Z58" s="12"/>
      <c r="AA58" s="12"/>
      <c r="AB58" s="12"/>
      <c r="AC58" s="4"/>
      <c r="AD58" s="4"/>
    </row>
    <row r="59" spans="1:30" ht="12.75" x14ac:dyDescent="0.2">
      <c r="A59" s="14" t="str">
        <f>A27</f>
        <v>SEP @5g [ft/sec]</v>
      </c>
      <c r="B59" s="12"/>
      <c r="C59" s="14">
        <f t="shared" ref="C59:X59" si="12">1/$K27*$M27*($I27/$S27+$U27/C$45/$M27*($O$27+$Q$27*(C$45*$M27*$G27/$U27)^2))</f>
        <v>4.1841918020551079</v>
      </c>
      <c r="D59" s="14">
        <f t="shared" si="12"/>
        <v>3.2788203963612901</v>
      </c>
      <c r="E59" s="14">
        <f t="shared" si="12"/>
        <v>2.7569510088493274</v>
      </c>
      <c r="F59" s="14">
        <f t="shared" si="12"/>
        <v>2.426832630428291</v>
      </c>
      <c r="G59" s="14">
        <f t="shared" si="12"/>
        <v>2.2062862572020716</v>
      </c>
      <c r="H59" s="14">
        <f t="shared" si="12"/>
        <v>2.0542223872226111</v>
      </c>
      <c r="I59" s="14">
        <f t="shared" si="12"/>
        <v>1.9478135194076578</v>
      </c>
      <c r="J59" s="14">
        <f t="shared" si="12"/>
        <v>1.8733631531078592</v>
      </c>
      <c r="K59" s="14">
        <f t="shared" si="12"/>
        <v>1.8221553333645359</v>
      </c>
      <c r="L59" s="14">
        <f t="shared" si="12"/>
        <v>1.7883794235385704</v>
      </c>
      <c r="M59" s="14">
        <f t="shared" si="12"/>
        <v>1.7680126751874952</v>
      </c>
      <c r="N59" s="14">
        <f t="shared" si="12"/>
        <v>1.7581816965666903</v>
      </c>
      <c r="O59" s="14">
        <f t="shared" si="12"/>
        <v>1.7567793337301012</v>
      </c>
      <c r="P59" s="14">
        <f t="shared" si="12"/>
        <v>1.7622252212181886</v>
      </c>
      <c r="Q59" s="14">
        <f t="shared" si="12"/>
        <v>1.7733108442677743</v>
      </c>
      <c r="R59" s="14">
        <f t="shared" si="12"/>
        <v>1.7890962469519414</v>
      </c>
      <c r="S59" s="14">
        <f t="shared" si="12"/>
        <v>1.8088393588020717</v>
      </c>
      <c r="T59" s="14">
        <f t="shared" si="12"/>
        <v>1.8319465234432712</v>
      </c>
      <c r="U59" s="14">
        <f t="shared" si="12"/>
        <v>1.8579371619053864</v>
      </c>
      <c r="V59" s="14">
        <f t="shared" si="12"/>
        <v>1.8864180732128388</v>
      </c>
      <c r="W59" s="14">
        <f t="shared" si="12"/>
        <v>1.9170644391684108</v>
      </c>
      <c r="X59" s="14">
        <f t="shared" si="12"/>
        <v>1.9496055779410852</v>
      </c>
      <c r="Y59" s="12"/>
      <c r="Z59" s="12"/>
      <c r="AA59" s="12"/>
      <c r="AB59" s="12"/>
      <c r="AC59" s="4"/>
      <c r="AD59" s="4"/>
    </row>
    <row r="60" spans="1:30" ht="12.75"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4"/>
      <c r="AD60" s="4"/>
    </row>
    <row r="61" spans="1:30" ht="12.75"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x14ac:dyDescent="0.2">
      <c r="A65" s="5" t="s">
        <v>493</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x14ac:dyDescent="0.2">
      <c r="A66" s="9" t="s">
        <v>494</v>
      </c>
      <c r="B66" s="12"/>
      <c r="C66" s="14">
        <f t="shared" ref="C66:X66" si="13">IF(C46=1,MAX(C49:C58),999)</f>
        <v>4.2612301095745337</v>
      </c>
      <c r="D66" s="14">
        <f t="shared" si="13"/>
        <v>3.3066737581571486</v>
      </c>
      <c r="E66" s="14">
        <f t="shared" si="13"/>
        <v>2.8049181387525572</v>
      </c>
      <c r="F66" s="14">
        <f t="shared" si="13"/>
        <v>2.4999660836359472</v>
      </c>
      <c r="G66" s="14">
        <f t="shared" si="13"/>
        <v>2.3074732081124694</v>
      </c>
      <c r="H66" s="14">
        <f t="shared" si="13"/>
        <v>2.1852673198347001</v>
      </c>
      <c r="I66" s="14">
        <f t="shared" si="13"/>
        <v>2.1099194230540692</v>
      </c>
      <c r="J66" s="14">
        <f t="shared" si="13"/>
        <v>2.0673721203214357</v>
      </c>
      <c r="K66" s="14">
        <f t="shared" si="13"/>
        <v>2.0486797950782543</v>
      </c>
      <c r="L66" s="14">
        <f t="shared" si="13"/>
        <v>2.0478787029521621</v>
      </c>
      <c r="M66" s="14">
        <f t="shared" si="13"/>
        <v>2.0608400978392152</v>
      </c>
      <c r="N66" s="14">
        <f t="shared" si="13"/>
        <v>2.0846148753794549</v>
      </c>
      <c r="O66" s="14">
        <f t="shared" si="13"/>
        <v>2.1170403590422429</v>
      </c>
      <c r="P66" s="14">
        <f t="shared" si="13"/>
        <v>2.1564945414296015</v>
      </c>
      <c r="Q66" s="14">
        <f t="shared" si="13"/>
        <v>2.2017370639430776</v>
      </c>
      <c r="R66" s="14">
        <f t="shared" si="13"/>
        <v>2.2518032032283175</v>
      </c>
      <c r="S66" s="14">
        <f t="shared" si="13"/>
        <v>2.3059313355845172</v>
      </c>
      <c r="T66" s="14">
        <f t="shared" si="13"/>
        <v>2.3635121620510327</v>
      </c>
      <c r="U66" s="14">
        <f t="shared" si="13"/>
        <v>2.4240524406121033</v>
      </c>
      <c r="V66" s="14">
        <f t="shared" si="13"/>
        <v>2.4871486096184729</v>
      </c>
      <c r="W66" s="14">
        <f t="shared" si="13"/>
        <v>2.5524672920555371</v>
      </c>
      <c r="X66" s="14">
        <f t="shared" si="13"/>
        <v>2.6197306737444586</v>
      </c>
      <c r="Y66" s="4"/>
      <c r="Z66" s="4"/>
      <c r="AA66" s="4"/>
      <c r="AB66" s="4"/>
      <c r="AC66" s="4"/>
      <c r="AD66" s="4"/>
    </row>
    <row r="67" spans="1:30" ht="12.75"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4"/>
      <c r="Z67" s="4"/>
      <c r="AA67" s="4"/>
      <c r="AB67" s="4"/>
      <c r="AC67" s="4"/>
      <c r="AD67" s="4"/>
    </row>
    <row r="68" spans="1:30" ht="12.75" x14ac:dyDescent="0.2">
      <c r="A68" s="12"/>
      <c r="B68" s="9" t="s">
        <v>495</v>
      </c>
      <c r="C68" s="14">
        <f t="shared" ref="C68:X68" ca="1" si="14">IF(C66=$C$71,+CELL("contents",C45),0)</f>
        <v>0</v>
      </c>
      <c r="D68" s="14">
        <f t="shared" ca="1" si="14"/>
        <v>0</v>
      </c>
      <c r="E68" s="14">
        <f t="shared" ca="1" si="14"/>
        <v>0</v>
      </c>
      <c r="F68" s="14">
        <f t="shared" ca="1" si="14"/>
        <v>0</v>
      </c>
      <c r="G68" s="14">
        <f t="shared" ca="1" si="14"/>
        <v>0</v>
      </c>
      <c r="H68" s="14">
        <f t="shared" ca="1" si="14"/>
        <v>0</v>
      </c>
      <c r="I68" s="14">
        <f t="shared" ca="1" si="14"/>
        <v>0</v>
      </c>
      <c r="J68" s="14">
        <f t="shared" ca="1" si="14"/>
        <v>0</v>
      </c>
      <c r="K68" s="14">
        <f t="shared" ca="1" si="14"/>
        <v>0</v>
      </c>
      <c r="L68" s="14">
        <f t="shared" ca="1" si="14"/>
        <v>60</v>
      </c>
      <c r="M68" s="14">
        <f t="shared" ca="1" si="14"/>
        <v>0</v>
      </c>
      <c r="N68" s="14">
        <f t="shared" ca="1" si="14"/>
        <v>0</v>
      </c>
      <c r="O68" s="14">
        <f t="shared" ca="1" si="14"/>
        <v>0</v>
      </c>
      <c r="P68" s="14">
        <f t="shared" ca="1" si="14"/>
        <v>0</v>
      </c>
      <c r="Q68" s="14">
        <f t="shared" ca="1" si="14"/>
        <v>0</v>
      </c>
      <c r="R68" s="14">
        <f t="shared" ca="1" si="14"/>
        <v>0</v>
      </c>
      <c r="S68" s="14">
        <f t="shared" ca="1" si="14"/>
        <v>0</v>
      </c>
      <c r="T68" s="14">
        <f t="shared" ca="1" si="14"/>
        <v>0</v>
      </c>
      <c r="U68" s="14">
        <f t="shared" ca="1" si="14"/>
        <v>0</v>
      </c>
      <c r="V68" s="14">
        <f t="shared" ca="1" si="14"/>
        <v>0</v>
      </c>
      <c r="W68" s="14">
        <f t="shared" ca="1" si="14"/>
        <v>0</v>
      </c>
      <c r="X68" s="14">
        <f t="shared" ca="1" si="14"/>
        <v>0</v>
      </c>
      <c r="Y68" s="4"/>
      <c r="Z68" s="4"/>
      <c r="AA68" s="4"/>
      <c r="AB68" s="4"/>
      <c r="AC68" s="4"/>
      <c r="AD68" s="4"/>
    </row>
    <row r="69" spans="1:30" ht="12.75" x14ac:dyDescent="0.2">
      <c r="A69" s="5" t="s">
        <v>496</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x14ac:dyDescent="0.2">
      <c r="A70" s="9" t="s">
        <v>497</v>
      </c>
      <c r="B70" s="12"/>
      <c r="C70" s="14" t="e">
        <f>#REF!</f>
        <v>#REF!</v>
      </c>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x14ac:dyDescent="0.2">
      <c r="A71" s="9" t="s">
        <v>498</v>
      </c>
      <c r="B71" s="9" t="s">
        <v>499</v>
      </c>
      <c r="C71" s="14">
        <f>MIN(C66:X66)</f>
        <v>2.0478787029521621</v>
      </c>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x14ac:dyDescent="0.2">
      <c r="A72" s="9" t="s">
        <v>500</v>
      </c>
      <c r="B72" s="9" t="s">
        <v>501</v>
      </c>
      <c r="C72" s="14">
        <f ca="1">MAX(C68:X68)</f>
        <v>60</v>
      </c>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x14ac:dyDescent="0.2">
      <c r="A74" s="5" t="s">
        <v>502</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x14ac:dyDescent="0.2">
      <c r="A75" s="4"/>
      <c r="B75" s="4"/>
      <c r="C75" s="4"/>
      <c r="D75" s="11" t="str">
        <f>A49</f>
        <v>Takeoff (Nicolai =n 6-3)</v>
      </c>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x14ac:dyDescent="0.2">
      <c r="A76" s="4"/>
      <c r="B76" s="4"/>
      <c r="C76" s="4"/>
      <c r="E76" s="4"/>
      <c r="F76" s="4"/>
      <c r="G76" s="4"/>
      <c r="H76" s="4"/>
      <c r="I76" s="4"/>
      <c r="J76" s="4"/>
      <c r="K76" s="4"/>
      <c r="L76" s="11" t="str">
        <f>A58</f>
        <v>SEP @1g [ft/sec]</v>
      </c>
      <c r="M76" s="4"/>
      <c r="N76" s="4"/>
      <c r="O76" s="4"/>
      <c r="P76" s="4"/>
      <c r="Q76" s="4"/>
      <c r="R76" s="4"/>
      <c r="S76" s="4"/>
      <c r="T76" s="4"/>
      <c r="U76" s="4"/>
      <c r="V76" s="4"/>
      <c r="W76" s="4"/>
      <c r="X76" s="4"/>
      <c r="Y76" s="4"/>
      <c r="Z76" s="4"/>
      <c r="AA76" s="4"/>
      <c r="AB76" s="4"/>
      <c r="AC76" s="4"/>
      <c r="AD76" s="4"/>
    </row>
    <row r="77" spans="1:30" ht="12.75" x14ac:dyDescent="0.2">
      <c r="A77" s="4"/>
      <c r="B77" s="4"/>
      <c r="C77" s="4"/>
      <c r="E77" s="4"/>
      <c r="F77" s="4"/>
      <c r="G77" s="4"/>
      <c r="H77" s="4"/>
      <c r="I77" s="4"/>
      <c r="J77" s="4"/>
      <c r="K77" s="4"/>
      <c r="M77" s="4"/>
      <c r="N77" s="4"/>
      <c r="O77" s="4"/>
      <c r="P77" s="4"/>
      <c r="Q77" s="4"/>
      <c r="S77" s="4"/>
      <c r="T77" s="4"/>
      <c r="U77" s="4"/>
      <c r="V77" s="11" t="str">
        <f>A59</f>
        <v>SEP @5g [ft/sec]</v>
      </c>
      <c r="W77" s="4"/>
      <c r="X77" s="4"/>
      <c r="Y77" s="4"/>
      <c r="Z77" s="4"/>
      <c r="AA77" s="4"/>
      <c r="AB77" s="4"/>
      <c r="AC77" s="4"/>
      <c r="AD77" s="4"/>
    </row>
    <row r="78" spans="1:30" ht="12.75" x14ac:dyDescent="0.2">
      <c r="A78" s="4"/>
      <c r="B78" s="4"/>
      <c r="C78" s="4"/>
      <c r="D78" s="4"/>
      <c r="E78" s="4"/>
      <c r="F78" s="11" t="str">
        <f>A55</f>
        <v>Cruise Mach req'm't</v>
      </c>
      <c r="G78" s="4"/>
      <c r="H78" s="4"/>
      <c r="I78" s="4"/>
      <c r="K78" s="4"/>
      <c r="M78" s="4"/>
      <c r="O78" s="4"/>
      <c r="P78" s="4"/>
      <c r="R78" s="4"/>
      <c r="S78" s="4"/>
      <c r="T78" s="4"/>
      <c r="U78" s="4"/>
      <c r="V78" s="4"/>
      <c r="W78" s="4"/>
      <c r="X78" s="4"/>
      <c r="Y78" s="4"/>
      <c r="Z78" s="4"/>
      <c r="AA78" s="4"/>
      <c r="AB78" s="4"/>
      <c r="AC78" s="4"/>
      <c r="AD78" s="4"/>
    </row>
    <row r="79" spans="1:30" ht="12.75" x14ac:dyDescent="0.2">
      <c r="A79" s="4"/>
      <c r="B79" s="4"/>
      <c r="C79" s="11" t="str">
        <f>A53</f>
        <v>FAR Part 25 climb</v>
      </c>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x14ac:dyDescent="0.2">
      <c r="A80" s="4"/>
      <c r="B80" s="4"/>
      <c r="C80" s="4"/>
      <c r="D80" s="4"/>
      <c r="E80" s="4"/>
      <c r="F80" s="4"/>
      <c r="G80" s="4"/>
      <c r="H80" s="4"/>
      <c r="I80" s="4"/>
      <c r="J80" s="11" t="str">
        <f>A52</f>
        <v>Takeoff (Roskam I, =n 3.8)</v>
      </c>
      <c r="K80" s="4"/>
      <c r="L80" s="4"/>
      <c r="M80" s="4"/>
      <c r="N80" s="4"/>
      <c r="O80" s="4"/>
      <c r="P80" s="4"/>
      <c r="Q80" s="4"/>
      <c r="R80" s="4"/>
      <c r="S80" s="4"/>
      <c r="T80" s="4"/>
      <c r="U80" s="4"/>
      <c r="V80" s="4"/>
      <c r="W80" s="4"/>
      <c r="X80" s="4"/>
      <c r="Y80" s="4"/>
      <c r="Z80" s="4"/>
      <c r="AA80" s="4"/>
      <c r="AB80" s="4"/>
      <c r="AC80" s="4"/>
      <c r="AD80" s="4"/>
    </row>
    <row r="81" spans="12:12" ht="12.75" x14ac:dyDescent="0.2">
      <c r="L81" s="14" t="s">
        <v>424</v>
      </c>
    </row>
  </sheetData>
  <mergeCells count="2">
    <mergeCell ref="Y44:Z44"/>
    <mergeCell ref="AA44:AB4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AI60"/>
  <sheetViews>
    <sheetView topLeftCell="E1" zoomScaleNormal="100" workbookViewId="0">
      <selection activeCell="W19" sqref="W19"/>
    </sheetView>
  </sheetViews>
  <sheetFormatPr defaultRowHeight="12" x14ac:dyDescent="0.15"/>
  <cols>
    <col min="1" max="1" width="22.5" customWidth="1"/>
    <col min="14" max="24" width="7.5" customWidth="1"/>
  </cols>
  <sheetData>
    <row r="7" spans="1:33" ht="12.75" x14ac:dyDescent="0.2">
      <c r="A7" s="12" t="s">
        <v>771</v>
      </c>
      <c r="B7" s="83"/>
      <c r="C7" s="12">
        <f>Mission!C27</f>
        <v>30000</v>
      </c>
      <c r="D7" s="32"/>
    </row>
    <row r="8" spans="1:33" ht="12.75" x14ac:dyDescent="0.2">
      <c r="A8" s="12" t="s">
        <v>772</v>
      </c>
      <c r="B8" s="83"/>
      <c r="C8" s="86">
        <f>Atmosphere!E22</f>
        <v>1057.8974435426371</v>
      </c>
      <c r="D8" s="88"/>
    </row>
    <row r="9" spans="1:33" ht="12.75" x14ac:dyDescent="0.2">
      <c r="A9" s="12" t="s">
        <v>780</v>
      </c>
      <c r="B9" s="83"/>
      <c r="C9" s="12">
        <f>Atmosphere!G22</f>
        <v>7.8682610298463419E-4</v>
      </c>
      <c r="D9" s="32"/>
    </row>
    <row r="10" spans="1:33" ht="12.75" x14ac:dyDescent="0.2">
      <c r="A10" s="12" t="s">
        <v>782</v>
      </c>
      <c r="B10" s="83"/>
      <c r="C10" s="94">
        <f>(Mission!C67+Mission!C68)/2</f>
        <v>23834.306991927086</v>
      </c>
      <c r="D10" s="32"/>
      <c r="E10" s="4"/>
      <c r="F10" s="4"/>
      <c r="G10" s="4"/>
      <c r="H10" s="4"/>
      <c r="I10" s="4"/>
      <c r="J10" s="4"/>
      <c r="K10" s="4"/>
      <c r="L10" s="4"/>
      <c r="M10" s="4"/>
      <c r="N10" s="4"/>
      <c r="O10" s="4"/>
      <c r="P10" s="4"/>
      <c r="Q10" s="4"/>
      <c r="R10" s="4"/>
      <c r="S10" s="4"/>
      <c r="T10" s="4"/>
      <c r="V10" s="4"/>
      <c r="X10" s="4"/>
      <c r="Y10" s="4"/>
      <c r="Z10" s="4"/>
      <c r="AA10" s="4"/>
      <c r="AB10" s="4"/>
      <c r="AC10" s="4"/>
      <c r="AD10" s="4"/>
      <c r="AE10" s="4"/>
      <c r="AF10" s="4"/>
      <c r="AG10" s="4"/>
    </row>
    <row r="11" spans="1:33" ht="14.25" x14ac:dyDescent="0.25">
      <c r="A11" s="85" t="s">
        <v>806</v>
      </c>
      <c r="B11" s="83"/>
      <c r="C11" s="12">
        <f>4.5*PI()*(Baseline!C57/LFUSE)^2/SREF</f>
        <v>2.3173520280056151E-3</v>
      </c>
      <c r="D11" s="32"/>
      <c r="E11" s="4"/>
      <c r="F11" s="4"/>
      <c r="G11" s="4"/>
      <c r="H11" s="4"/>
      <c r="I11" s="4"/>
      <c r="J11" s="4"/>
      <c r="K11" s="4"/>
      <c r="L11" s="4"/>
      <c r="M11" s="4"/>
      <c r="N11" s="4"/>
      <c r="O11" s="4"/>
      <c r="P11" s="4"/>
      <c r="Q11" s="4"/>
      <c r="R11" s="4"/>
      <c r="S11" s="4"/>
      <c r="T11" s="4"/>
      <c r="V11" s="4"/>
      <c r="W11" s="43"/>
      <c r="X11" s="4"/>
      <c r="Y11" s="4"/>
      <c r="Z11" s="4"/>
      <c r="AA11" s="4"/>
      <c r="AB11" s="4"/>
      <c r="AC11" s="4"/>
      <c r="AD11" s="4"/>
      <c r="AE11" s="4"/>
      <c r="AF11" s="4"/>
      <c r="AG11" s="4"/>
    </row>
    <row r="12" spans="1:33" ht="14.25" x14ac:dyDescent="0.25">
      <c r="A12" s="12" t="s">
        <v>800</v>
      </c>
      <c r="B12" s="12" t="s">
        <v>799</v>
      </c>
      <c r="C12" s="50">
        <v>2</v>
      </c>
      <c r="D12" s="4"/>
      <c r="E12" s="4"/>
      <c r="F12" s="4"/>
      <c r="G12" s="4"/>
      <c r="H12" s="4"/>
      <c r="I12" s="4"/>
      <c r="J12" s="4"/>
      <c r="K12" s="4"/>
      <c r="L12" s="4"/>
      <c r="M12" s="4"/>
      <c r="N12" s="4"/>
      <c r="O12" s="4"/>
      <c r="P12" s="4"/>
      <c r="Q12" s="4"/>
      <c r="R12" s="4"/>
      <c r="S12" s="4"/>
      <c r="T12" s="4"/>
      <c r="V12" s="4"/>
      <c r="W12" s="43"/>
      <c r="X12" s="4"/>
      <c r="Y12" s="4"/>
      <c r="Z12" s="4"/>
      <c r="AA12" s="4"/>
      <c r="AB12" s="4"/>
      <c r="AC12" s="4"/>
      <c r="AD12" s="4"/>
      <c r="AE12" s="4"/>
      <c r="AF12" s="4"/>
      <c r="AG12" s="4"/>
    </row>
    <row r="13" spans="1:33" ht="12.75" x14ac:dyDescent="0.2">
      <c r="A13" s="12" t="s">
        <v>47</v>
      </c>
      <c r="B13" s="12"/>
      <c r="C13" s="12">
        <f>AR</f>
        <v>2</v>
      </c>
      <c r="D13" s="4"/>
      <c r="E13" s="4"/>
      <c r="F13" s="4"/>
      <c r="G13" s="4"/>
      <c r="H13" s="4"/>
      <c r="I13" s="4"/>
      <c r="J13" s="4"/>
      <c r="K13" s="4"/>
      <c r="L13" s="4"/>
      <c r="M13" s="4"/>
      <c r="N13" s="4"/>
      <c r="O13" s="4"/>
      <c r="P13" s="4"/>
      <c r="Q13" s="4"/>
      <c r="R13" s="4"/>
      <c r="S13" s="4"/>
      <c r="T13" s="4"/>
      <c r="V13" s="4"/>
      <c r="W13" s="43"/>
      <c r="X13" s="4"/>
      <c r="Y13" s="4"/>
      <c r="Z13" s="4"/>
      <c r="AA13" s="4"/>
      <c r="AB13" s="4"/>
      <c r="AC13" s="4"/>
      <c r="AD13" s="4"/>
      <c r="AE13" s="4"/>
      <c r="AF13" s="4"/>
      <c r="AG13" s="4"/>
    </row>
    <row r="14" spans="1:33" ht="12.75" x14ac:dyDescent="0.2">
      <c r="A14" s="4"/>
      <c r="B14" s="4"/>
      <c r="C14" s="93"/>
      <c r="D14" s="4"/>
      <c r="E14" s="4"/>
      <c r="F14" s="4"/>
      <c r="G14" s="4"/>
      <c r="H14" s="4"/>
      <c r="I14" s="4"/>
      <c r="J14" s="4"/>
      <c r="K14" s="4"/>
      <c r="L14" s="4"/>
      <c r="M14" s="4"/>
      <c r="N14" s="4"/>
      <c r="O14" s="4"/>
      <c r="P14" s="4"/>
      <c r="Q14" s="4"/>
      <c r="R14" s="4"/>
      <c r="S14" s="4"/>
      <c r="T14" s="4"/>
      <c r="V14" s="4"/>
      <c r="W14" s="43"/>
      <c r="X14" s="4"/>
      <c r="Y14" s="4"/>
      <c r="Z14" s="4"/>
      <c r="AA14" s="4"/>
      <c r="AB14" s="4"/>
      <c r="AC14" s="4"/>
      <c r="AD14" s="4"/>
      <c r="AE14" s="4"/>
      <c r="AF14" s="4"/>
      <c r="AG14" s="4"/>
    </row>
    <row r="15" spans="1:33" ht="12.75" x14ac:dyDescent="0.2">
      <c r="A15" s="4"/>
      <c r="B15" s="4"/>
      <c r="C15" s="4"/>
      <c r="D15" s="4"/>
      <c r="E15" s="4"/>
      <c r="F15" s="4"/>
      <c r="G15" s="4"/>
      <c r="H15" s="4"/>
      <c r="I15" s="4"/>
      <c r="J15" s="4"/>
      <c r="K15" s="4"/>
      <c r="L15" s="4"/>
      <c r="M15" s="4"/>
      <c r="N15" s="4"/>
      <c r="O15" s="4"/>
      <c r="P15" s="4"/>
      <c r="Q15" s="4"/>
      <c r="R15" s="4"/>
      <c r="S15" s="4"/>
      <c r="T15" s="4"/>
      <c r="V15" s="4"/>
      <c r="W15" s="115" t="s">
        <v>807</v>
      </c>
      <c r="X15" s="4"/>
      <c r="Y15" s="4"/>
      <c r="Z15" s="4"/>
      <c r="AA15" s="4"/>
      <c r="AB15" s="4"/>
      <c r="AC15" s="4"/>
      <c r="AD15" s="4"/>
      <c r="AE15" s="4"/>
      <c r="AF15" s="4"/>
      <c r="AG15" s="4"/>
    </row>
    <row r="16" spans="1:33" ht="12.75" x14ac:dyDescent="0.2">
      <c r="A16" s="4"/>
      <c r="B16" s="4"/>
      <c r="C16" s="4"/>
      <c r="D16" s="4"/>
      <c r="E16" s="4"/>
      <c r="F16" s="4"/>
      <c r="G16" s="4"/>
      <c r="H16" s="4"/>
      <c r="I16" s="4"/>
      <c r="J16" s="4"/>
      <c r="K16" s="4"/>
      <c r="L16" s="4"/>
      <c r="M16" s="4"/>
      <c r="N16" s="4"/>
      <c r="O16" s="4"/>
      <c r="P16" s="4"/>
      <c r="Q16" s="4"/>
      <c r="R16" s="4"/>
      <c r="S16" s="4"/>
      <c r="T16" s="4"/>
      <c r="V16" s="4"/>
      <c r="W16" s="115"/>
      <c r="X16" s="4"/>
      <c r="Y16" s="4"/>
      <c r="Z16" s="4"/>
      <c r="AA16" s="4"/>
      <c r="AB16" s="4"/>
      <c r="AC16" s="4"/>
      <c r="AD16" s="4"/>
      <c r="AE16" s="4"/>
      <c r="AF16" s="4"/>
      <c r="AG16" s="4"/>
    </row>
    <row r="17" spans="1:35" ht="12.75" x14ac:dyDescent="0.2">
      <c r="A17" s="5" t="s">
        <v>483</v>
      </c>
      <c r="B17" s="5" t="s">
        <v>484</v>
      </c>
      <c r="C17" s="5"/>
      <c r="D17" s="5"/>
      <c r="E17" s="5"/>
      <c r="F17" s="5"/>
      <c r="N17" s="11">
        <f>Performance!C44</f>
        <v>5</v>
      </c>
      <c r="O17" s="4"/>
      <c r="P17" s="4"/>
      <c r="Q17" s="4"/>
      <c r="R17" s="4"/>
      <c r="S17" s="4"/>
      <c r="T17" s="4"/>
      <c r="U17" s="4"/>
      <c r="V17" s="4"/>
      <c r="W17" s="116"/>
      <c r="X17" s="4"/>
      <c r="Y17" s="4"/>
      <c r="Z17" s="4"/>
      <c r="AA17" s="4"/>
      <c r="AB17" s="4"/>
      <c r="AC17" s="4"/>
      <c r="AD17" s="4"/>
      <c r="AE17" s="4"/>
      <c r="AF17" s="4"/>
      <c r="AG17" s="4"/>
      <c r="AH17" s="4"/>
      <c r="AI17" s="4"/>
    </row>
    <row r="18" spans="1:35" ht="12.75" x14ac:dyDescent="0.2">
      <c r="A18" s="9" t="s">
        <v>811</v>
      </c>
      <c r="B18" s="12"/>
      <c r="C18" s="12"/>
      <c r="D18" s="12"/>
      <c r="E18" s="12"/>
      <c r="F18" s="12"/>
      <c r="G18" s="83"/>
      <c r="H18" s="83"/>
      <c r="I18" s="83"/>
      <c r="J18" s="83"/>
      <c r="K18" s="83"/>
      <c r="L18" s="83"/>
      <c r="M18" s="83"/>
      <c r="N18" s="14">
        <f t="shared" ref="N18:V18" si="0">O18-$N$17</f>
        <v>15</v>
      </c>
      <c r="O18" s="14">
        <f t="shared" si="0"/>
        <v>20</v>
      </c>
      <c r="P18" s="14">
        <f t="shared" si="0"/>
        <v>25</v>
      </c>
      <c r="Q18" s="14">
        <f t="shared" si="0"/>
        <v>30</v>
      </c>
      <c r="R18" s="14">
        <f t="shared" si="0"/>
        <v>35</v>
      </c>
      <c r="S18" s="14">
        <f t="shared" si="0"/>
        <v>40</v>
      </c>
      <c r="T18" s="14">
        <f t="shared" si="0"/>
        <v>45</v>
      </c>
      <c r="U18" s="14">
        <f t="shared" si="0"/>
        <v>50</v>
      </c>
      <c r="V18" s="14">
        <f t="shared" si="0"/>
        <v>55</v>
      </c>
      <c r="W18" s="14">
        <f>Baseline!$C$8</f>
        <v>60</v>
      </c>
      <c r="X18" s="14">
        <f t="shared" ref="X18:AI18" si="1">W18+$N$17</f>
        <v>65</v>
      </c>
      <c r="Y18" s="14">
        <f t="shared" si="1"/>
        <v>70</v>
      </c>
      <c r="Z18" s="14">
        <f t="shared" si="1"/>
        <v>75</v>
      </c>
      <c r="AA18" s="14">
        <f t="shared" si="1"/>
        <v>80</v>
      </c>
      <c r="AB18" s="14">
        <f t="shared" si="1"/>
        <v>85</v>
      </c>
      <c r="AC18" s="14">
        <f t="shared" si="1"/>
        <v>90</v>
      </c>
      <c r="AD18" s="14">
        <f t="shared" si="1"/>
        <v>95</v>
      </c>
      <c r="AE18" s="14">
        <f t="shared" si="1"/>
        <v>100</v>
      </c>
      <c r="AF18" s="14">
        <f t="shared" si="1"/>
        <v>105</v>
      </c>
      <c r="AG18" s="14">
        <f t="shared" si="1"/>
        <v>110</v>
      </c>
      <c r="AH18" s="14">
        <f t="shared" si="1"/>
        <v>115</v>
      </c>
      <c r="AI18" s="14">
        <f t="shared" si="1"/>
        <v>120</v>
      </c>
    </row>
    <row r="19" spans="1:35" ht="15" x14ac:dyDescent="0.2">
      <c r="A19" s="85" t="s">
        <v>812</v>
      </c>
      <c r="B19" s="83"/>
      <c r="C19" s="83"/>
      <c r="D19" s="83"/>
      <c r="E19" s="83"/>
      <c r="F19" s="83"/>
      <c r="G19" s="83"/>
      <c r="H19" s="83"/>
      <c r="I19" s="83"/>
      <c r="J19" s="83"/>
      <c r="K19" s="83"/>
      <c r="L19" s="83"/>
      <c r="M19" s="83"/>
      <c r="N19" s="95">
        <f>N18*$C$10/Baseline!$C$3</f>
        <v>7.518665813480788</v>
      </c>
      <c r="O19" s="95">
        <f>O18*$C$10/Baseline!$C$3</f>
        <v>10.024887751307718</v>
      </c>
      <c r="P19" s="95">
        <f>P18*$C$10/Baseline!$C$3</f>
        <v>12.531109689134645</v>
      </c>
      <c r="Q19" s="95">
        <f>Q18*$C$10/Baseline!$C$3</f>
        <v>15.037331626961576</v>
      </c>
      <c r="R19" s="95">
        <f>R18*$C$10/Baseline!$C$3</f>
        <v>17.543553564788507</v>
      </c>
      <c r="S19" s="95">
        <f>S18*$C$10/Baseline!$C$3</f>
        <v>20.049775502615436</v>
      </c>
      <c r="T19" s="95">
        <f>T18*$C$10/Baseline!$C$3</f>
        <v>22.555997440442365</v>
      </c>
      <c r="U19" s="95">
        <f>U18*$C$10/Baseline!$C$3</f>
        <v>25.06221937826929</v>
      </c>
      <c r="V19" s="95">
        <f>V18*$C$10/Baseline!$C$3</f>
        <v>27.568441316096223</v>
      </c>
      <c r="W19" s="95">
        <f>W18*$C$10/Baseline!$C$3</f>
        <v>30.074663253923152</v>
      </c>
      <c r="X19" s="95">
        <f>X18*$C$10/Baseline!$C$3</f>
        <v>32.580885191750085</v>
      </c>
      <c r="Y19" s="95">
        <f>Y18*$C$10/Baseline!$C$3</f>
        <v>35.087107129577014</v>
      </c>
      <c r="Z19" s="95">
        <f>Z18*$C$10/Baseline!$C$3</f>
        <v>37.593329067403943</v>
      </c>
      <c r="AA19" s="95">
        <f>AA18*$C$10/Baseline!$C$3</f>
        <v>40.099551005230872</v>
      </c>
      <c r="AB19" s="95">
        <f>AB18*$C$10/Baseline!$C$3</f>
        <v>42.605772943057801</v>
      </c>
      <c r="AC19" s="95">
        <f>AC18*$C$10/Baseline!$C$3</f>
        <v>45.11199488088473</v>
      </c>
      <c r="AD19" s="95">
        <f>AD18*$C$10/Baseline!$C$3</f>
        <v>47.618216818711659</v>
      </c>
      <c r="AE19" s="95">
        <f>AE18*$C$10/Baseline!$C$3</f>
        <v>50.124438756538581</v>
      </c>
      <c r="AF19" s="95">
        <f>AF18*$C$10/Baseline!$C$3</f>
        <v>52.630660694365517</v>
      </c>
      <c r="AG19" s="95">
        <f>AG18*$C$10/Baseline!$C$3</f>
        <v>55.136882632192446</v>
      </c>
      <c r="AH19" s="95">
        <f>AH18*$C$10/Baseline!$C$3</f>
        <v>57.643104570019382</v>
      </c>
      <c r="AI19" s="95">
        <f>AI18*$C$10/Baseline!$C$3</f>
        <v>60.149326507846304</v>
      </c>
    </row>
    <row r="20" spans="1:35" ht="12.75" x14ac:dyDescent="0.2">
      <c r="A20" s="85" t="s">
        <v>813</v>
      </c>
      <c r="B20" s="83"/>
      <c r="C20" s="83"/>
      <c r="D20" s="83"/>
      <c r="E20" s="83"/>
      <c r="F20" s="83"/>
      <c r="G20" s="83"/>
      <c r="H20" s="83"/>
      <c r="I20" s="83"/>
      <c r="J20" s="83"/>
      <c r="K20" s="83"/>
      <c r="L20" s="83"/>
      <c r="M20" s="83"/>
      <c r="N20" s="94">
        <v>30000</v>
      </c>
      <c r="O20" s="94">
        <v>30000</v>
      </c>
      <c r="P20" s="94">
        <v>30000</v>
      </c>
      <c r="Q20" s="94">
        <v>30000</v>
      </c>
      <c r="R20" s="94">
        <v>30000</v>
      </c>
      <c r="S20" s="94">
        <v>30000</v>
      </c>
      <c r="T20" s="94">
        <v>30000</v>
      </c>
      <c r="U20" s="94">
        <v>30000</v>
      </c>
      <c r="V20" s="94">
        <v>30000</v>
      </c>
      <c r="W20" s="94">
        <v>30000</v>
      </c>
      <c r="X20" s="94">
        <v>30000</v>
      </c>
      <c r="Y20" s="94">
        <v>30000</v>
      </c>
      <c r="Z20" s="94">
        <v>30000</v>
      </c>
      <c r="AA20" s="94">
        <v>30000</v>
      </c>
      <c r="AB20" s="94">
        <v>30000</v>
      </c>
      <c r="AC20" s="94">
        <v>30000</v>
      </c>
      <c r="AD20" s="94">
        <v>30000</v>
      </c>
      <c r="AE20" s="94">
        <v>30000</v>
      </c>
      <c r="AF20" s="94">
        <v>30000</v>
      </c>
      <c r="AG20" s="94">
        <v>30000</v>
      </c>
      <c r="AH20" s="94">
        <v>30000</v>
      </c>
      <c r="AI20" s="94">
        <v>30000</v>
      </c>
    </row>
    <row r="21" spans="1:35" ht="12.75" x14ac:dyDescent="0.2">
      <c r="A21" s="85" t="s">
        <v>808</v>
      </c>
      <c r="B21" s="83"/>
      <c r="C21" s="83"/>
      <c r="D21" s="83"/>
      <c r="E21" s="83"/>
      <c r="F21" s="83"/>
      <c r="G21" s="83"/>
      <c r="H21" s="83"/>
      <c r="I21" s="83"/>
      <c r="J21" s="83"/>
      <c r="K21" s="83"/>
      <c r="L21" s="83"/>
      <c r="M21" s="83"/>
      <c r="N21" s="84">
        <v>5</v>
      </c>
      <c r="O21" s="84">
        <v>4</v>
      </c>
      <c r="P21" s="84">
        <v>2.5</v>
      </c>
      <c r="Q21" s="84">
        <v>1.9945053767693659</v>
      </c>
      <c r="R21" s="84">
        <v>1.8521594410717119</v>
      </c>
      <c r="S21" s="84">
        <v>1.7173174947751384</v>
      </c>
      <c r="T21" s="84">
        <v>1.6149780533584173</v>
      </c>
      <c r="U21" s="84">
        <v>1.5347598555203839</v>
      </c>
      <c r="V21" s="84">
        <v>1.4704279369876863</v>
      </c>
      <c r="W21" s="84">
        <v>1.4177607899287941</v>
      </c>
      <c r="X21" s="84">
        <v>1.3739435406478946</v>
      </c>
      <c r="Y21" s="84">
        <v>1.3369994972413737</v>
      </c>
      <c r="Z21" s="84">
        <v>1.3057932296379471</v>
      </c>
      <c r="AA21" s="84">
        <v>1.6868476586182948</v>
      </c>
      <c r="AB21" s="84">
        <v>1.6349396108978027</v>
      </c>
      <c r="AC21" s="84">
        <v>1.5894996697863764</v>
      </c>
      <c r="AD21" s="84">
        <v>1.5494443562150773</v>
      </c>
      <c r="AE21" s="84">
        <v>1.5139198612392359</v>
      </c>
      <c r="AF21" s="84">
        <v>1.482240784296819</v>
      </c>
      <c r="AG21" s="84">
        <v>1.9945053767693659</v>
      </c>
      <c r="AH21" s="84">
        <v>1.9945053767693659</v>
      </c>
      <c r="AI21" s="84">
        <v>1.9945053767693659</v>
      </c>
    </row>
    <row r="22" spans="1:35" ht="40.5" x14ac:dyDescent="0.25">
      <c r="A22" s="83"/>
      <c r="B22" s="96" t="s">
        <v>411</v>
      </c>
      <c r="C22" s="96" t="s">
        <v>775</v>
      </c>
      <c r="D22" s="96" t="s">
        <v>801</v>
      </c>
      <c r="E22" s="96" t="s">
        <v>776</v>
      </c>
      <c r="F22" s="96" t="s">
        <v>781</v>
      </c>
      <c r="G22" s="96" t="s">
        <v>779</v>
      </c>
      <c r="H22" s="96" t="s">
        <v>810</v>
      </c>
      <c r="I22" s="96" t="s">
        <v>783</v>
      </c>
      <c r="J22" s="96" t="s">
        <v>784</v>
      </c>
      <c r="K22" s="96" t="s">
        <v>814</v>
      </c>
      <c r="L22" s="96" t="s">
        <v>802</v>
      </c>
      <c r="M22" s="96"/>
      <c r="N22" s="96" t="s">
        <v>803</v>
      </c>
      <c r="O22" s="97"/>
      <c r="P22" s="97"/>
      <c r="Q22" s="97"/>
      <c r="R22" s="97"/>
      <c r="S22" s="97"/>
      <c r="T22" s="97"/>
      <c r="U22" s="97"/>
      <c r="V22" s="97"/>
      <c r="W22" s="97"/>
      <c r="X22" s="97"/>
      <c r="Y22" s="97"/>
      <c r="Z22" s="97"/>
      <c r="AA22" s="97"/>
      <c r="AB22" s="97"/>
      <c r="AC22" s="97"/>
      <c r="AD22" s="97"/>
      <c r="AE22" s="83"/>
      <c r="AF22" s="83"/>
      <c r="AG22" s="83"/>
      <c r="AH22" s="83"/>
      <c r="AI22" s="83"/>
    </row>
    <row r="23" spans="1:35" ht="12.75" x14ac:dyDescent="0.2">
      <c r="A23" s="83"/>
      <c r="B23" s="84">
        <v>0.8</v>
      </c>
      <c r="C23" s="86">
        <f t="shared" ref="C23:C39" si="2">B23*C$8</f>
        <v>846.31795483410974</v>
      </c>
      <c r="D23" s="98"/>
      <c r="E23" s="86"/>
      <c r="F23" s="86"/>
      <c r="G23" s="94">
        <v>13000</v>
      </c>
      <c r="H23" s="94"/>
      <c r="I23" s="94"/>
      <c r="J23" s="99">
        <v>0</v>
      </c>
      <c r="K23" s="100">
        <f>I23+J23</f>
        <v>0</v>
      </c>
      <c r="L23" s="101">
        <v>0.25</v>
      </c>
      <c r="M23" s="94"/>
      <c r="N23" s="12"/>
      <c r="O23" s="12"/>
      <c r="P23" s="83"/>
      <c r="Q23" s="83"/>
      <c r="R23" s="83"/>
      <c r="S23" s="83"/>
      <c r="T23" s="83"/>
      <c r="U23" s="83"/>
      <c r="V23" s="83"/>
      <c r="W23" s="83"/>
      <c r="X23" s="83"/>
      <c r="Y23" s="83"/>
      <c r="Z23" s="83"/>
      <c r="AA23" s="83"/>
      <c r="AB23" s="83"/>
      <c r="AC23" s="83"/>
      <c r="AD23" s="83"/>
      <c r="AE23" s="83"/>
      <c r="AF23" s="83"/>
      <c r="AG23" s="83"/>
      <c r="AH23" s="83"/>
      <c r="AI23" s="83"/>
    </row>
    <row r="24" spans="1:35" ht="12.75" x14ac:dyDescent="0.2">
      <c r="A24" s="83"/>
      <c r="B24" s="84">
        <v>0.85</v>
      </c>
      <c r="C24" s="86">
        <f t="shared" si="2"/>
        <v>899.21282701124153</v>
      </c>
      <c r="D24" s="98">
        <f>(B23+B24)/2</f>
        <v>0.82499999999999996</v>
      </c>
      <c r="E24" s="86">
        <f>(C24+C23)/2</f>
        <v>872.76539092267558</v>
      </c>
      <c r="F24" s="86">
        <f t="shared" ref="F24:F39" si="3">$C$9*E24^2/2</f>
        <v>299.67036439011139</v>
      </c>
      <c r="G24" s="94">
        <f>(G23+G25)/2</f>
        <v>13750</v>
      </c>
      <c r="H24" s="94">
        <f>(G23+G24)/2</f>
        <v>13375</v>
      </c>
      <c r="I24" s="100">
        <f t="shared" ref="I24:I39" si="4">CDOCALC</f>
        <v>1.3914279478188714E-2</v>
      </c>
      <c r="J24" s="99">
        <f>0.005/0.1317*J27</f>
        <v>8.7978436902263286E-5</v>
      </c>
      <c r="K24" s="100">
        <f t="shared" ref="K24:K39" si="5">I24+J24</f>
        <v>1.4002257915090978E-2</v>
      </c>
      <c r="L24" s="101">
        <v>0.24299999999999999</v>
      </c>
      <c r="M24" s="94"/>
      <c r="N24" s="94">
        <f>($F24*$K24/N$19+$L24/$F24*N$19)*$C$10</f>
        <v>13446.905233378859</v>
      </c>
      <c r="O24" s="94">
        <f t="shared" ref="O24:AD39" si="6">($F24*$K24/O$19+$L24/$F24*O$19)*$C$10</f>
        <v>10169.945099247905</v>
      </c>
      <c r="P24" s="94">
        <f t="shared" si="6"/>
        <v>8223.1441443039093</v>
      </c>
      <c r="Q24" s="94">
        <f t="shared" si="6"/>
        <v>6941.422778953387</v>
      </c>
      <c r="R24" s="94">
        <f t="shared" si="6"/>
        <v>6039.7468933705677</v>
      </c>
      <c r="S24" s="94">
        <f t="shared" si="6"/>
        <v>5375.5994326425625</v>
      </c>
      <c r="T24" s="94">
        <f t="shared" si="6"/>
        <v>4869.8042551510998</v>
      </c>
      <c r="U24" s="94">
        <f t="shared" si="6"/>
        <v>4474.8556759252169</v>
      </c>
      <c r="V24" s="94">
        <f t="shared" si="6"/>
        <v>4160.5228045288459</v>
      </c>
      <c r="W24" s="94">
        <f>($F24*$K24/W$19+$L24/$F24*W$19)*$C$10</f>
        <v>3906.6517140046089</v>
      </c>
      <c r="X24" s="94">
        <f>($F24*$K24/X$19+$L24/$F24*X$19)*$C$10</f>
        <v>3699.2896856897064</v>
      </c>
      <c r="Y24" s="94">
        <f t="shared" si="6"/>
        <v>3528.470491967852</v>
      </c>
      <c r="Z24" s="94">
        <f t="shared" si="6"/>
        <v>3386.8855659204364</v>
      </c>
      <c r="AA24" s="94">
        <f t="shared" si="6"/>
        <v>3269.0534823585022</v>
      </c>
      <c r="AB24" s="94">
        <f t="shared" si="6"/>
        <v>3170.782563196376</v>
      </c>
      <c r="AC24" s="94">
        <f t="shared" si="6"/>
        <v>3088.8126143674231</v>
      </c>
      <c r="AD24" s="94">
        <f t="shared" si="6"/>
        <v>3020.5697984506164</v>
      </c>
      <c r="AE24" s="94">
        <f t="shared" ref="Y24:AI39" si="7">($F24*$K24/AE$19+$L24/$F24*AE$19)*$C$10</f>
        <v>2963.9950455091343</v>
      </c>
      <c r="AF24" s="94">
        <f t="shared" si="7"/>
        <v>2917.4214894036436</v>
      </c>
      <c r="AG24" s="94">
        <f>($F24*$K24/AG$19+$L24/$F24*AG$19)*$C$10</f>
        <v>2879.4853305656011</v>
      </c>
      <c r="AH24" s="94">
        <f t="shared" si="7"/>
        <v>2849.0599519601215</v>
      </c>
      <c r="AI24" s="94">
        <f>($F24*$K24/AI$19+$L24/$F24*AI$19)*$C$10</f>
        <v>2825.2065060581353</v>
      </c>
    </row>
    <row r="25" spans="1:35" ht="12.75" x14ac:dyDescent="0.2">
      <c r="A25" s="83"/>
      <c r="B25" s="84">
        <v>0.9</v>
      </c>
      <c r="C25" s="86">
        <f t="shared" si="2"/>
        <v>952.10769918837343</v>
      </c>
      <c r="D25" s="98">
        <f t="shared" ref="D25:D39" si="8">(B24+B25)/2</f>
        <v>0.875</v>
      </c>
      <c r="E25" s="86">
        <f t="shared" ref="E25:E39" si="9">(C25+C24)/2</f>
        <v>925.66026309980748</v>
      </c>
      <c r="F25" s="86">
        <f t="shared" si="3"/>
        <v>337.094762514129</v>
      </c>
      <c r="G25" s="94">
        <v>14500</v>
      </c>
      <c r="H25" s="94">
        <f t="shared" ref="H25:H39" si="10">(G24+G25)/2</f>
        <v>14125</v>
      </c>
      <c r="I25" s="100">
        <f t="shared" si="4"/>
        <v>1.3914279478188714E-2</v>
      </c>
      <c r="J25" s="99">
        <f>0.015/0.1317*J27</f>
        <v>2.6393531070678986E-4</v>
      </c>
      <c r="K25" s="100">
        <f t="shared" si="5"/>
        <v>1.4178214788895504E-2</v>
      </c>
      <c r="L25" s="101">
        <v>0.24</v>
      </c>
      <c r="M25" s="94"/>
      <c r="N25" s="94">
        <f t="shared" ref="N25:N38" si="11">($F25*$K25/N$19+$L25/$F25*N$19)*$C$10</f>
        <v>15278.376715289638</v>
      </c>
      <c r="O25" s="94">
        <f t="shared" si="6"/>
        <v>11533.207621854002</v>
      </c>
      <c r="P25" s="94">
        <f t="shared" si="6"/>
        <v>9303.1176138810315</v>
      </c>
      <c r="Q25" s="94">
        <f t="shared" si="6"/>
        <v>7830.5671486393867</v>
      </c>
      <c r="R25" s="94">
        <f t="shared" si="6"/>
        <v>6790.8964221013584</v>
      </c>
      <c r="S25" s="94">
        <f t="shared" si="6"/>
        <v>6021.7755322530911</v>
      </c>
      <c r="T25" s="94">
        <f t="shared" si="6"/>
        <v>5433.021200197999</v>
      </c>
      <c r="U25" s="94">
        <f t="shared" si="6"/>
        <v>4970.5234585981289</v>
      </c>
      <c r="V25" s="94">
        <f t="shared" si="6"/>
        <v>4599.8486918747813</v>
      </c>
      <c r="W25" s="94">
        <f t="shared" si="6"/>
        <v>4298.0411563088282</v>
      </c>
      <c r="X25" s="94">
        <f t="shared" si="6"/>
        <v>4049.2084139408703</v>
      </c>
      <c r="Y25" s="94">
        <f t="shared" si="7"/>
        <v>3841.9987233713373</v>
      </c>
      <c r="Z25" s="94">
        <f t="shared" si="7"/>
        <v>3668.087474240544</v>
      </c>
      <c r="AA25" s="94">
        <f t="shared" si="7"/>
        <v>3521.2312087787268</v>
      </c>
      <c r="AB25" s="94">
        <f t="shared" si="7"/>
        <v>3396.6555181031254</v>
      </c>
      <c r="AC25" s="94">
        <f t="shared" si="7"/>
        <v>3290.6469730827034</v>
      </c>
      <c r="AD25" s="94">
        <f t="shared" si="7"/>
        <v>3200.2739191403275</v>
      </c>
      <c r="AE25" s="94">
        <f t="shared" si="7"/>
        <v>3123.1910326142906</v>
      </c>
      <c r="AF25" s="94">
        <f t="shared" si="7"/>
        <v>3057.4997181594008</v>
      </c>
      <c r="AG25" s="94">
        <f t="shared" si="7"/>
        <v>3001.6465795841395</v>
      </c>
      <c r="AH25" s="94">
        <f t="shared" si="7"/>
        <v>2954.3483765563801</v>
      </c>
      <c r="AI25" s="94">
        <f t="shared" si="7"/>
        <v>2914.5357421326858</v>
      </c>
    </row>
    <row r="26" spans="1:35" ht="12.75" x14ac:dyDescent="0.2">
      <c r="A26" s="83"/>
      <c r="B26" s="84">
        <v>0.95</v>
      </c>
      <c r="C26" s="86">
        <f t="shared" si="2"/>
        <v>1005.0025713655052</v>
      </c>
      <c r="D26" s="98">
        <f t="shared" si="8"/>
        <v>0.92500000000000004</v>
      </c>
      <c r="E26" s="86">
        <f t="shared" si="9"/>
        <v>978.55513527693938</v>
      </c>
      <c r="F26" s="86">
        <f t="shared" si="3"/>
        <v>376.72059582191235</v>
      </c>
      <c r="G26" s="94">
        <f>(G25+G27)/2</f>
        <v>15250</v>
      </c>
      <c r="H26" s="94">
        <f t="shared" si="10"/>
        <v>14875</v>
      </c>
      <c r="I26" s="100">
        <f t="shared" si="4"/>
        <v>1.3914279478188714E-2</v>
      </c>
      <c r="J26" s="99">
        <f>0.04/0.1317*J27</f>
        <v>7.0382749521810629E-4</v>
      </c>
      <c r="K26" s="100">
        <f t="shared" si="5"/>
        <v>1.4618106973406821E-2</v>
      </c>
      <c r="L26" s="101">
        <v>0.24399999999999999</v>
      </c>
      <c r="M26" s="94"/>
      <c r="N26" s="94">
        <f t="shared" si="11"/>
        <v>17573.174258332114</v>
      </c>
      <c r="O26" s="94">
        <f t="shared" si="6"/>
        <v>13247.587225347903</v>
      </c>
      <c r="P26" s="94">
        <f t="shared" si="6"/>
        <v>10667.710784208535</v>
      </c>
      <c r="Q26" s="94">
        <f t="shared" si="6"/>
        <v>8960.6896389915873</v>
      </c>
      <c r="R26" s="94">
        <f t="shared" si="6"/>
        <v>7752.4429485874516</v>
      </c>
      <c r="S26" s="94">
        <f t="shared" si="6"/>
        <v>6855.930292441325</v>
      </c>
      <c r="T26" s="94">
        <f t="shared" si="6"/>
        <v>6167.2403258005361</v>
      </c>
      <c r="U26" s="94">
        <f t="shared" si="6"/>
        <v>5624.0262418134853</v>
      </c>
      <c r="V26" s="94">
        <f t="shared" si="6"/>
        <v>5186.6127997564236</v>
      </c>
      <c r="W26" s="94">
        <f t="shared" si="6"/>
        <v>4828.5498391468545</v>
      </c>
      <c r="X26" s="94">
        <f t="shared" si="6"/>
        <v>4531.5257104199727</v>
      </c>
      <c r="Y26" s="94">
        <f t="shared" si="7"/>
        <v>4282.4606638866308</v>
      </c>
      <c r="Z26" s="94">
        <f t="shared" si="7"/>
        <v>4071.7628831081206</v>
      </c>
      <c r="AA26" s="94">
        <f t="shared" si="7"/>
        <v>3892.2385057554116</v>
      </c>
      <c r="AB26" s="94">
        <f t="shared" si="7"/>
        <v>3738.3863429886551</v>
      </c>
      <c r="AC26" s="94">
        <f t="shared" si="7"/>
        <v>3605.9276923768603</v>
      </c>
      <c r="AD26" s="94">
        <f t="shared" si="7"/>
        <v>3491.4846309481904</v>
      </c>
      <c r="AE26" s="94">
        <f t="shared" si="7"/>
        <v>3392.354820325178</v>
      </c>
      <c r="AF26" s="94">
        <f t="shared" si="7"/>
        <v>3306.3506532498704</v>
      </c>
      <c r="AG26" s="94">
        <f t="shared" si="7"/>
        <v>3231.6822692384908</v>
      </c>
      <c r="AH26" s="94">
        <f t="shared" si="7"/>
        <v>3166.8710878913953</v>
      </c>
      <c r="AI26" s="94">
        <f t="shared" si="7"/>
        <v>3110.6849588755495</v>
      </c>
    </row>
    <row r="27" spans="1:35" ht="12.75" x14ac:dyDescent="0.2">
      <c r="A27" s="83"/>
      <c r="B27" s="84">
        <v>1</v>
      </c>
      <c r="C27" s="86">
        <f t="shared" si="2"/>
        <v>1057.8974435426371</v>
      </c>
      <c r="D27" s="98">
        <f t="shared" si="8"/>
        <v>0.97499999999999998</v>
      </c>
      <c r="E27" s="86">
        <f t="shared" si="9"/>
        <v>1031.4500074540711</v>
      </c>
      <c r="F27" s="86">
        <f t="shared" si="3"/>
        <v>418.54786431346128</v>
      </c>
      <c r="G27" s="94">
        <v>16000</v>
      </c>
      <c r="H27" s="94">
        <f t="shared" si="10"/>
        <v>15625</v>
      </c>
      <c r="I27" s="100">
        <f t="shared" si="4"/>
        <v>1.3914279478188714E-2</v>
      </c>
      <c r="J27" s="99">
        <f>J28/2</f>
        <v>2.3173520280056151E-3</v>
      </c>
      <c r="K27" s="100">
        <f t="shared" si="5"/>
        <v>1.6231631506194329E-2</v>
      </c>
      <c r="L27" s="101">
        <v>0.252</v>
      </c>
      <c r="M27" s="94"/>
      <c r="N27" s="94">
        <f t="shared" si="11"/>
        <v>21644.093172517252</v>
      </c>
      <c r="O27" s="94">
        <f t="shared" si="6"/>
        <v>16296.008252878237</v>
      </c>
      <c r="P27" s="94">
        <f t="shared" si="6"/>
        <v>13101.543215035468</v>
      </c>
      <c r="Q27" s="94">
        <f t="shared" si="6"/>
        <v>10983.888118090817</v>
      </c>
      <c r="R27" s="94">
        <f t="shared" si="6"/>
        <v>9481.5529873736687</v>
      </c>
      <c r="S27" s="94">
        <f t="shared" si="6"/>
        <v>8363.7928355487074</v>
      </c>
      <c r="T27" s="94">
        <f t="shared" si="6"/>
        <v>7502.4160029852028</v>
      </c>
      <c r="U27" s="94">
        <f t="shared" si="6"/>
        <v>6820.507493904719</v>
      </c>
      <c r="V27" s="94">
        <f t="shared" si="6"/>
        <v>6269.1214019027939</v>
      </c>
      <c r="W27" s="94">
        <f t="shared" si="6"/>
        <v>5815.6271227097923</v>
      </c>
      <c r="X27" s="94">
        <f t="shared" si="6"/>
        <v>5437.4342379851878</v>
      </c>
      <c r="Y27" s="94">
        <f t="shared" si="7"/>
        <v>5118.4067346286138</v>
      </c>
      <c r="Z27" s="94">
        <f t="shared" si="7"/>
        <v>4846.7115363664625</v>
      </c>
      <c r="AA27" s="94">
        <f t="shared" si="7"/>
        <v>4613.47383599353</v>
      </c>
      <c r="AB27" s="94">
        <f t="shared" si="7"/>
        <v>4411.9070162352482</v>
      </c>
      <c r="AC27" s="94">
        <f t="shared" si="7"/>
        <v>4236.7325969891754</v>
      </c>
      <c r="AD27" s="94">
        <f t="shared" si="7"/>
        <v>4083.7833571218048</v>
      </c>
      <c r="AE27" s="94">
        <f t="shared" si="7"/>
        <v>3949.7255197263303</v>
      </c>
      <c r="AF27" s="94">
        <f t="shared" si="7"/>
        <v>3831.8603130210531</v>
      </c>
      <c r="AG27" s="94">
        <f t="shared" si="7"/>
        <v>3727.9796510027659</v>
      </c>
      <c r="AH27" s="94">
        <f t="shared" si="7"/>
        <v>3636.2594626253372</v>
      </c>
      <c r="AI27" s="94">
        <f t="shared" si="7"/>
        <v>3555.1796886836614</v>
      </c>
    </row>
    <row r="28" spans="1:35" ht="12.75" x14ac:dyDescent="0.2">
      <c r="A28" s="83"/>
      <c r="B28" s="84">
        <v>1.05</v>
      </c>
      <c r="C28" s="86">
        <f t="shared" si="2"/>
        <v>1110.792315719769</v>
      </c>
      <c r="D28" s="98">
        <f t="shared" si="8"/>
        <v>1.0249999999999999</v>
      </c>
      <c r="E28" s="86">
        <f t="shared" si="9"/>
        <v>1084.3448796312032</v>
      </c>
      <c r="F28" s="86">
        <f t="shared" si="3"/>
        <v>462.57656798877628</v>
      </c>
      <c r="G28" s="94">
        <f>(G27+G29)/2</f>
        <v>17000</v>
      </c>
      <c r="H28" s="94">
        <f t="shared" si="10"/>
        <v>16500</v>
      </c>
      <c r="I28" s="100">
        <f t="shared" si="4"/>
        <v>1.3914279478188714E-2</v>
      </c>
      <c r="J28" s="99">
        <f>J31</f>
        <v>4.6347040560112303E-3</v>
      </c>
      <c r="K28" s="100">
        <f t="shared" si="5"/>
        <v>1.8548983534199946E-2</v>
      </c>
      <c r="L28" s="101">
        <v>0.26</v>
      </c>
      <c r="M28" s="94"/>
      <c r="N28" s="94">
        <f t="shared" si="11"/>
        <v>27300.510336219515</v>
      </c>
      <c r="O28" s="94">
        <f t="shared" si="6"/>
        <v>20534.13842759515</v>
      </c>
      <c r="P28" s="94">
        <f t="shared" si="6"/>
        <v>16487.74515109037</v>
      </c>
      <c r="Q28" s="94">
        <f t="shared" si="6"/>
        <v>13801.341190645377</v>
      </c>
      <c r="R28" s="94">
        <f t="shared" si="6"/>
        <v>11892.073982234542</v>
      </c>
      <c r="S28" s="94">
        <f t="shared" si="6"/>
        <v>10468.517243845066</v>
      </c>
      <c r="T28" s="94">
        <f t="shared" si="6"/>
        <v>9368.7674854698253</v>
      </c>
      <c r="U28" s="94">
        <f t="shared" si="6"/>
        <v>8495.6826131045491</v>
      </c>
      <c r="V28" s="94">
        <f t="shared" si="6"/>
        <v>7787.4449305647004</v>
      </c>
      <c r="W28" s="94">
        <f t="shared" si="6"/>
        <v>7202.8426403939247</v>
      </c>
      <c r="X28" s="94">
        <f t="shared" si="6"/>
        <v>6713.3444981993562</v>
      </c>
      <c r="Y28" s="94">
        <f t="shared" si="7"/>
        <v>6298.5710437003809</v>
      </c>
      <c r="Z28" s="94">
        <f t="shared" si="7"/>
        <v>5943.5773393578802</v>
      </c>
      <c r="AA28" s="94">
        <f t="shared" si="7"/>
        <v>5637.1546820175154</v>
      </c>
      <c r="AB28" s="94">
        <f t="shared" si="7"/>
        <v>5370.7317104436152</v>
      </c>
      <c r="AC28" s="94">
        <f t="shared" si="7"/>
        <v>5137.6418103417673</v>
      </c>
      <c r="AD28" s="94">
        <f t="shared" si="7"/>
        <v>4932.6218651637555</v>
      </c>
      <c r="AE28" s="94">
        <f t="shared" si="7"/>
        <v>4751.4613816710016</v>
      </c>
      <c r="AF28" s="94">
        <f t="shared" si="7"/>
        <v>4590.7518653370425</v>
      </c>
      <c r="AG28" s="94">
        <f t="shared" si="7"/>
        <v>4447.7045479129501</v>
      </c>
      <c r="AH28" s="94">
        <f t="shared" si="7"/>
        <v>4320.0156643235259</v>
      </c>
      <c r="AI28" s="94">
        <f t="shared" si="7"/>
        <v>4205.7654103394361</v>
      </c>
    </row>
    <row r="29" spans="1:35" ht="12.75" x14ac:dyDescent="0.2">
      <c r="A29" s="83"/>
      <c r="B29" s="84">
        <v>1.1000000000000001</v>
      </c>
      <c r="C29" s="86">
        <f t="shared" si="2"/>
        <v>1163.6871878969009</v>
      </c>
      <c r="D29" s="98">
        <f t="shared" si="8"/>
        <v>1.0750000000000002</v>
      </c>
      <c r="E29" s="86">
        <f t="shared" si="9"/>
        <v>1137.2397518083349</v>
      </c>
      <c r="F29" s="86">
        <f t="shared" si="3"/>
        <v>508.80670684785673</v>
      </c>
      <c r="G29" s="94">
        <v>18000</v>
      </c>
      <c r="H29" s="94">
        <f t="shared" si="10"/>
        <v>17500</v>
      </c>
      <c r="I29" s="100">
        <f t="shared" si="4"/>
        <v>1.3914279478188714E-2</v>
      </c>
      <c r="J29" s="99">
        <f>0.29/0.2634*J31</f>
        <v>5.1027493403312703E-3</v>
      </c>
      <c r="K29" s="100">
        <f t="shared" si="5"/>
        <v>1.9017028818519986E-2</v>
      </c>
      <c r="L29" s="101">
        <v>0.26800000000000002</v>
      </c>
      <c r="M29" s="94"/>
      <c r="N29" s="94">
        <f t="shared" si="11"/>
        <v>30767.459364551964</v>
      </c>
      <c r="O29" s="94">
        <f t="shared" si="6"/>
        <v>23130.65526690703</v>
      </c>
      <c r="P29" s="94">
        <f t="shared" si="6"/>
        <v>18561.158121118486</v>
      </c>
      <c r="Q29" s="94">
        <f t="shared" si="6"/>
        <v>15525.314451258128</v>
      </c>
      <c r="R29" s="94">
        <f t="shared" si="6"/>
        <v>13365.844196213882</v>
      </c>
      <c r="S29" s="94">
        <f t="shared" si="6"/>
        <v>11754.107325429706</v>
      </c>
      <c r="T29" s="94">
        <f t="shared" si="6"/>
        <v>10507.526044152244</v>
      </c>
      <c r="U29" s="94">
        <f t="shared" si="6"/>
        <v>9516.5536755294852</v>
      </c>
      <c r="V29" s="94">
        <f t="shared" si="6"/>
        <v>8711.4786979283181</v>
      </c>
      <c r="W29" s="94">
        <f t="shared" si="6"/>
        <v>8045.8267635933535</v>
      </c>
      <c r="X29" s="94">
        <f t="shared" si="6"/>
        <v>7487.4233240785416</v>
      </c>
      <c r="Y29" s="94">
        <f t="shared" si="7"/>
        <v>7013.28655906528</v>
      </c>
      <c r="Z29" s="94">
        <f t="shared" si="7"/>
        <v>6606.5631336532551</v>
      </c>
      <c r="AA29" s="94">
        <f t="shared" si="7"/>
        <v>6254.6130466672403</v>
      </c>
      <c r="AB29" s="94">
        <f t="shared" si="7"/>
        <v>5947.7704148555822</v>
      </c>
      <c r="AC29" s="94">
        <f t="shared" si="7"/>
        <v>5678.5173290225575</v>
      </c>
      <c r="AD29" s="94">
        <f t="shared" si="7"/>
        <v>5440.9185976978533</v>
      </c>
      <c r="AE29" s="94">
        <f t="shared" si="7"/>
        <v>5230.2260677052245</v>
      </c>
      <c r="AF29" s="94">
        <f t="shared" si="7"/>
        <v>5042.5959959972288</v>
      </c>
      <c r="AG29" s="94">
        <f t="shared" si="7"/>
        <v>4874.8835018986902</v>
      </c>
      <c r="AH29" s="94">
        <f t="shared" si="7"/>
        <v>4724.4906405040274</v>
      </c>
      <c r="AI29" s="94">
        <f t="shared" si="7"/>
        <v>4589.2524577252561</v>
      </c>
    </row>
    <row r="30" spans="1:35" ht="12.75" x14ac:dyDescent="0.2">
      <c r="A30" s="83"/>
      <c r="B30" s="84">
        <v>1.1499999999999999</v>
      </c>
      <c r="C30" s="86">
        <f t="shared" si="2"/>
        <v>1216.5820600740326</v>
      </c>
      <c r="D30" s="98">
        <f t="shared" si="8"/>
        <v>1.125</v>
      </c>
      <c r="E30" s="86">
        <f t="shared" si="9"/>
        <v>1190.1346239854668</v>
      </c>
      <c r="F30" s="86">
        <f t="shared" si="3"/>
        <v>557.23828089070298</v>
      </c>
      <c r="G30" s="94">
        <f>(G29+G31)/2</f>
        <v>19000</v>
      </c>
      <c r="H30" s="94">
        <f t="shared" si="10"/>
        <v>18500</v>
      </c>
      <c r="I30" s="100">
        <f t="shared" si="4"/>
        <v>1.3914279478188714E-2</v>
      </c>
      <c r="J30" s="99">
        <f>0.275/0.2634*J31</f>
        <v>4.838814029624482E-3</v>
      </c>
      <c r="K30" s="100">
        <f t="shared" si="5"/>
        <v>1.8753093507813196E-2</v>
      </c>
      <c r="L30" s="101">
        <v>0.27500000000000002</v>
      </c>
      <c r="M30" s="94"/>
      <c r="N30" s="94">
        <f t="shared" si="11"/>
        <v>33214.941575225515</v>
      </c>
      <c r="O30" s="94">
        <f t="shared" si="6"/>
        <v>24962.794557220925</v>
      </c>
      <c r="P30" s="94">
        <f t="shared" si="6"/>
        <v>20023.297975172871</v>
      </c>
      <c r="Q30" s="94">
        <f t="shared" si="6"/>
        <v>16740.126611103075</v>
      </c>
      <c r="R30" s="94">
        <f t="shared" si="6"/>
        <v>14403.426800163721</v>
      </c>
      <c r="S30" s="94">
        <f t="shared" si="6"/>
        <v>12658.271709930887</v>
      </c>
      <c r="T30" s="94">
        <f t="shared" si="6"/>
        <v>11307.479766835737</v>
      </c>
      <c r="U30" s="94">
        <f t="shared" si="6"/>
        <v>10232.742026736965</v>
      </c>
      <c r="V30" s="94">
        <f t="shared" si="6"/>
        <v>9358.7709797264688</v>
      </c>
      <c r="W30" s="94">
        <f t="shared" si="6"/>
        <v>8635.3749525321764</v>
      </c>
      <c r="X30" s="94">
        <f t="shared" si="6"/>
        <v>8027.8058636580427</v>
      </c>
      <c r="Y30" s="94">
        <f t="shared" si="7"/>
        <v>7511.2436548926044</v>
      </c>
      <c r="Z30" s="94">
        <f t="shared" si="7"/>
        <v>7067.4869502141228</v>
      </c>
      <c r="AA30" s="94">
        <f t="shared" si="7"/>
        <v>6682.8847176062945</v>
      </c>
      <c r="AB30" s="94">
        <f t="shared" si="7"/>
        <v>6346.9979325860622</v>
      </c>
      <c r="AC30" s="94">
        <f t="shared" si="7"/>
        <v>6051.7073538888262</v>
      </c>
      <c r="AD30" s="94">
        <f t="shared" si="7"/>
        <v>5790.6030542004291</v>
      </c>
      <c r="AE30" s="94">
        <f t="shared" si="7"/>
        <v>5558.557091669546</v>
      </c>
      <c r="AF30" s="94">
        <f t="shared" si="7"/>
        <v>5351.4182752736751</v>
      </c>
      <c r="AG30" s="94">
        <f t="shared" si="7"/>
        <v>5165.7901759944043</v>
      </c>
      <c r="AH30" s="94">
        <f t="shared" si="7"/>
        <v>4998.8670481208728</v>
      </c>
      <c r="AI30" s="94">
        <f t="shared" si="7"/>
        <v>4848.3107702273646</v>
      </c>
    </row>
    <row r="31" spans="1:35" ht="12.75" x14ac:dyDescent="0.2">
      <c r="A31" s="83"/>
      <c r="B31" s="84">
        <v>1.2</v>
      </c>
      <c r="C31" s="86">
        <f t="shared" si="2"/>
        <v>1269.4769322511645</v>
      </c>
      <c r="D31" s="98">
        <f t="shared" si="8"/>
        <v>1.1749999999999998</v>
      </c>
      <c r="E31" s="86">
        <f t="shared" si="9"/>
        <v>1243.0294961625987</v>
      </c>
      <c r="F31" s="86">
        <f t="shared" si="3"/>
        <v>607.87129011731508</v>
      </c>
      <c r="G31" s="94">
        <v>20000</v>
      </c>
      <c r="H31" s="94">
        <f t="shared" si="10"/>
        <v>19500</v>
      </c>
      <c r="I31" s="100">
        <f t="shared" si="4"/>
        <v>1.3914279478188714E-2</v>
      </c>
      <c r="J31" s="99">
        <f t="shared" ref="J31:J38" si="12">EWD*(1-0.386*(B31-1.2)^0.57*(1-PI()*LESWEEP^0.77/100))*$C$11</f>
        <v>4.6347040560112303E-3</v>
      </c>
      <c r="K31" s="100">
        <f t="shared" si="5"/>
        <v>1.8548983534199946E-2</v>
      </c>
      <c r="L31" s="101">
        <v>0.28000000000000003</v>
      </c>
      <c r="M31" s="94"/>
      <c r="N31" s="94">
        <f t="shared" si="11"/>
        <v>35825.75002336449</v>
      </c>
      <c r="O31" s="94">
        <f t="shared" si="6"/>
        <v>26917.463649799782</v>
      </c>
      <c r="P31" s="94">
        <f t="shared" si="6"/>
        <v>21583.497798752709</v>
      </c>
      <c r="Q31" s="94">
        <f t="shared" si="6"/>
        <v>18036.692208964454</v>
      </c>
      <c r="R31" s="94">
        <f t="shared" si="6"/>
        <v>15511.121054181236</v>
      </c>
      <c r="S31" s="94">
        <f t="shared" si="6"/>
        <v>13623.82142127617</v>
      </c>
      <c r="T31" s="94">
        <f t="shared" si="6"/>
        <v>12162.036136289869</v>
      </c>
      <c r="U31" s="94">
        <f t="shared" si="6"/>
        <v>10998.110894846706</v>
      </c>
      <c r="V31" s="94">
        <f t="shared" si="6"/>
        <v>10050.81113961673</v>
      </c>
      <c r="W31" s="94">
        <f t="shared" si="6"/>
        <v>9265.9804990466491</v>
      </c>
      <c r="X31" s="94">
        <f t="shared" si="6"/>
        <v>8606.1261005226352</v>
      </c>
      <c r="Y31" s="94">
        <f t="shared" si="7"/>
        <v>8044.4673207491096</v>
      </c>
      <c r="Z31" s="94">
        <f t="shared" si="7"/>
        <v>7561.3650359759722</v>
      </c>
      <c r="AA31" s="94">
        <f t="shared" si="7"/>
        <v>7142.0899033906471</v>
      </c>
      <c r="AB31" s="94">
        <f t="shared" si="7"/>
        <v>6775.37830790117</v>
      </c>
      <c r="AC31" s="94">
        <f t="shared" si="7"/>
        <v>6452.4696599915669</v>
      </c>
      <c r="AD31" s="94">
        <f t="shared" si="7"/>
        <v>6166.4477047808032</v>
      </c>
      <c r="AE31" s="94">
        <f t="shared" si="7"/>
        <v>5911.7794383640548</v>
      </c>
      <c r="AF31" s="94">
        <f t="shared" si="7"/>
        <v>5683.9857623421758</v>
      </c>
      <c r="AG31" s="94">
        <f t="shared" si="7"/>
        <v>5479.4019598431369</v>
      </c>
      <c r="AH31" s="94">
        <f t="shared" si="7"/>
        <v>5295.000656059613</v>
      </c>
      <c r="AI31" s="94">
        <f t="shared" si="7"/>
        <v>5128.259038652167</v>
      </c>
    </row>
    <row r="32" spans="1:35" ht="12.75" x14ac:dyDescent="0.2">
      <c r="A32" s="83"/>
      <c r="B32" s="84">
        <v>1.25</v>
      </c>
      <c r="C32" s="86">
        <f t="shared" si="2"/>
        <v>1322.3718044282964</v>
      </c>
      <c r="D32" s="98">
        <f t="shared" si="8"/>
        <v>1.2250000000000001</v>
      </c>
      <c r="E32" s="86">
        <f t="shared" si="9"/>
        <v>1295.9243683397303</v>
      </c>
      <c r="F32" s="86">
        <f t="shared" si="3"/>
        <v>660.7057345276927</v>
      </c>
      <c r="G32" s="94">
        <f>(G31+G33)/2</f>
        <v>21000</v>
      </c>
      <c r="H32" s="94">
        <f t="shared" si="10"/>
        <v>20500</v>
      </c>
      <c r="I32" s="100">
        <f t="shared" si="4"/>
        <v>1.3914279478188714E-2</v>
      </c>
      <c r="J32" s="99">
        <f t="shared" si="12"/>
        <v>4.5487710684377182E-3</v>
      </c>
      <c r="K32" s="100">
        <f t="shared" si="5"/>
        <v>1.8463050546626433E-2</v>
      </c>
      <c r="L32" s="101">
        <v>0.28499999999999998</v>
      </c>
      <c r="M32" s="94"/>
      <c r="N32" s="94">
        <f t="shared" si="11"/>
        <v>38747.220841586961</v>
      </c>
      <c r="O32" s="94">
        <f t="shared" si="6"/>
        <v>29105.507360219199</v>
      </c>
      <c r="P32" s="94">
        <f t="shared" si="6"/>
        <v>23330.785952319457</v>
      </c>
      <c r="Q32" s="94">
        <f t="shared" si="6"/>
        <v>19489.56058115371</v>
      </c>
      <c r="R32" s="94">
        <f t="shared" si="6"/>
        <v>16753.190088121686</v>
      </c>
      <c r="S32" s="94">
        <f t="shared" si="6"/>
        <v>14707.353893923237</v>
      </c>
      <c r="T32" s="94">
        <f t="shared" si="6"/>
        <v>13121.873898947173</v>
      </c>
      <c r="U32" s="94">
        <f t="shared" si="6"/>
        <v>11858.643243426775</v>
      </c>
      <c r="V32" s="94">
        <f t="shared" si="6"/>
        <v>10829.775743874136</v>
      </c>
      <c r="W32" s="94">
        <f t="shared" si="6"/>
        <v>9976.6806112973136</v>
      </c>
      <c r="X32" s="94">
        <f t="shared" si="6"/>
        <v>9258.7949917788155</v>
      </c>
      <c r="Y32" s="94">
        <f t="shared" si="7"/>
        <v>8647.1454182347115</v>
      </c>
      <c r="Z32" s="94">
        <f t="shared" si="7"/>
        <v>8120.4846814701259</v>
      </c>
      <c r="AA32" s="94">
        <f t="shared" si="7"/>
        <v>7662.8773745888957</v>
      </c>
      <c r="AB32" s="94">
        <f t="shared" si="7"/>
        <v>7262.1375981998453</v>
      </c>
      <c r="AC32" s="94">
        <f t="shared" si="7"/>
        <v>6908.7874305542746</v>
      </c>
      <c r="AD32" s="94">
        <f t="shared" si="7"/>
        <v>6595.3443018505814</v>
      </c>
      <c r="AE32" s="94">
        <f t="shared" si="7"/>
        <v>6315.8221562474855</v>
      </c>
      <c r="AF32" s="94">
        <f t="shared" si="7"/>
        <v>6065.3751390163279</v>
      </c>
      <c r="AG32" s="94">
        <f t="shared" si="7"/>
        <v>5840.0384599245745</v>
      </c>
      <c r="AH32" s="94">
        <f t="shared" si="7"/>
        <v>5636.5368574757795</v>
      </c>
      <c r="AI32" s="94">
        <f t="shared" si="7"/>
        <v>5452.1409470895733</v>
      </c>
    </row>
    <row r="33" spans="1:35" ht="12.75" x14ac:dyDescent="0.2">
      <c r="A33" s="83"/>
      <c r="B33" s="84">
        <v>1.3</v>
      </c>
      <c r="C33" s="86">
        <f t="shared" si="2"/>
        <v>1375.2666766054283</v>
      </c>
      <c r="D33" s="98">
        <f t="shared" si="8"/>
        <v>1.2749999999999999</v>
      </c>
      <c r="E33" s="86">
        <f t="shared" si="9"/>
        <v>1348.8192405168625</v>
      </c>
      <c r="F33" s="86">
        <f t="shared" si="3"/>
        <v>715.74161412183651</v>
      </c>
      <c r="G33" s="94">
        <v>22000</v>
      </c>
      <c r="H33" s="94">
        <f t="shared" si="10"/>
        <v>21500</v>
      </c>
      <c r="I33" s="100">
        <f t="shared" si="4"/>
        <v>1.3914279478188714E-2</v>
      </c>
      <c r="J33" s="99">
        <f t="shared" si="12"/>
        <v>4.5071345104637783E-3</v>
      </c>
      <c r="K33" s="100">
        <f t="shared" si="5"/>
        <v>1.8421413988652491E-2</v>
      </c>
      <c r="L33" s="101">
        <v>0.28999999999999998</v>
      </c>
      <c r="M33" s="94"/>
      <c r="N33" s="94">
        <f t="shared" si="11"/>
        <v>41869.210312479561</v>
      </c>
      <c r="O33" s="94">
        <f t="shared" si="6"/>
        <v>31444.262456235308</v>
      </c>
      <c r="P33" s="94">
        <f t="shared" si="6"/>
        <v>25198.974821774631</v>
      </c>
      <c r="Q33" s="94">
        <f t="shared" si="6"/>
        <v>21043.517298205723</v>
      </c>
      <c r="R33" s="94">
        <f t="shared" si="6"/>
        <v>18082.248409432115</v>
      </c>
      <c r="S33" s="94">
        <f t="shared" si="6"/>
        <v>15867.347417405579</v>
      </c>
      <c r="T33" s="94">
        <f t="shared" si="6"/>
        <v>14150.025023210417</v>
      </c>
      <c r="U33" s="94">
        <f t="shared" si="6"/>
        <v>12781.007647497219</v>
      </c>
      <c r="V33" s="94">
        <f t="shared" si="6"/>
        <v>11665.303012498174</v>
      </c>
      <c r="W33" s="94">
        <f t="shared" si="6"/>
        <v>10739.582933034748</v>
      </c>
      <c r="X33" s="94">
        <f t="shared" si="6"/>
        <v>9960.0048193679449</v>
      </c>
      <c r="Y33" s="94">
        <f t="shared" si="7"/>
        <v>9295.2525359699266</v>
      </c>
      <c r="Z33" s="94">
        <f t="shared" si="7"/>
        <v>8722.360916786929</v>
      </c>
      <c r="AA33" s="94">
        <f t="shared" si="7"/>
        <v>8224.1060872786366</v>
      </c>
      <c r="AB33" s="94">
        <f t="shared" si="7"/>
        <v>7787.316849267163</v>
      </c>
      <c r="AC33" s="94">
        <f t="shared" si="7"/>
        <v>7401.7489375030373</v>
      </c>
      <c r="AD33" s="94">
        <f t="shared" si="7"/>
        <v>7059.3147741577304</v>
      </c>
      <c r="AE33" s="94">
        <f t="shared" si="7"/>
        <v>6753.54429696842</v>
      </c>
      <c r="AF33" s="94">
        <f t="shared" si="7"/>
        <v>6479.1998364842466</v>
      </c>
      <c r="AG33" s="94">
        <f t="shared" si="7"/>
        <v>6231.9960267908782</v>
      </c>
      <c r="AH33" s="94">
        <f t="shared" si="7"/>
        <v>6008.3927830025532</v>
      </c>
      <c r="AI33" s="94">
        <f t="shared" si="7"/>
        <v>5805.4400343811449</v>
      </c>
    </row>
    <row r="34" spans="1:35" ht="12.75" x14ac:dyDescent="0.2">
      <c r="A34" s="83"/>
      <c r="B34" s="84">
        <v>1.35</v>
      </c>
      <c r="C34" s="86">
        <f t="shared" si="2"/>
        <v>1428.1615487825602</v>
      </c>
      <c r="D34" s="98">
        <f t="shared" si="8"/>
        <v>1.3250000000000002</v>
      </c>
      <c r="E34" s="86">
        <f t="shared" si="9"/>
        <v>1401.7141126939941</v>
      </c>
      <c r="F34" s="86">
        <f t="shared" si="3"/>
        <v>772.97892889974548</v>
      </c>
      <c r="G34" s="94">
        <f>(G33+G35)/2</f>
        <v>22500</v>
      </c>
      <c r="H34" s="94">
        <f t="shared" si="10"/>
        <v>22250</v>
      </c>
      <c r="I34" s="100">
        <f t="shared" si="4"/>
        <v>1.3914279478188714E-2</v>
      </c>
      <c r="J34" s="99">
        <f t="shared" si="12"/>
        <v>4.4739658836141522E-3</v>
      </c>
      <c r="K34" s="100">
        <f t="shared" si="5"/>
        <v>1.8388245361802866E-2</v>
      </c>
      <c r="L34" s="101">
        <v>0.29499999999999998</v>
      </c>
      <c r="M34" s="94"/>
      <c r="N34" s="94">
        <f t="shared" si="11"/>
        <v>45126.16065402767</v>
      </c>
      <c r="O34" s="94">
        <f t="shared" si="6"/>
        <v>33884.515122702498</v>
      </c>
      <c r="P34" s="94">
        <f t="shared" si="6"/>
        <v>27148.646576977513</v>
      </c>
      <c r="Q34" s="94">
        <f t="shared" si="6"/>
        <v>22665.666524052613</v>
      </c>
      <c r="R34" s="94">
        <f t="shared" si="6"/>
        <v>19470.051324156335</v>
      </c>
      <c r="S34" s="94">
        <f t="shared" si="6"/>
        <v>17079.039157402953</v>
      </c>
      <c r="T34" s="94">
        <f t="shared" si="6"/>
        <v>15224.429012744829</v>
      </c>
      <c r="U34" s="94">
        <f t="shared" si="6"/>
        <v>13745.300283553388</v>
      </c>
      <c r="V34" s="94">
        <f t="shared" si="6"/>
        <v>12539.248947428619</v>
      </c>
      <c r="W34" s="94">
        <f t="shared" si="6"/>
        <v>11538.00565610386</v>
      </c>
      <c r="X34" s="94">
        <f t="shared" si="6"/>
        <v>10694.307014625263</v>
      </c>
      <c r="Y34" s="94">
        <f t="shared" si="7"/>
        <v>9974.3934551686489</v>
      </c>
      <c r="Z34" s="94">
        <f t="shared" si="7"/>
        <v>9353.5079613296202</v>
      </c>
      <c r="AA34" s="94">
        <f t="shared" si="7"/>
        <v>8813.0827708048837</v>
      </c>
      <c r="AB34" s="94">
        <f t="shared" si="7"/>
        <v>8338.9190065389703</v>
      </c>
      <c r="AC34" s="94">
        <f t="shared" si="7"/>
        <v>7919.9730974887452</v>
      </c>
      <c r="AD34" s="94">
        <f t="shared" si="7"/>
        <v>7547.5264349359431</v>
      </c>
      <c r="AE34" s="94">
        <f t="shared" si="7"/>
        <v>7214.6041319059505</v>
      </c>
      <c r="AF34" s="94">
        <f t="shared" si="7"/>
        <v>6915.5598513240766</v>
      </c>
      <c r="AG34" s="94">
        <f t="shared" si="7"/>
        <v>6645.7738628564921</v>
      </c>
      <c r="AH34" s="94">
        <f t="shared" si="7"/>
        <v>6401.429867531765</v>
      </c>
      <c r="AI34" s="94">
        <f t="shared" si="7"/>
        <v>6179.3476162070383</v>
      </c>
    </row>
    <row r="35" spans="1:35" ht="12.75" x14ac:dyDescent="0.2">
      <c r="A35" s="83"/>
      <c r="B35" s="84">
        <v>1.4</v>
      </c>
      <c r="C35" s="86">
        <f t="shared" si="2"/>
        <v>1481.0564209596919</v>
      </c>
      <c r="D35" s="98">
        <f t="shared" si="8"/>
        <v>1.375</v>
      </c>
      <c r="E35" s="86">
        <f t="shared" si="9"/>
        <v>1454.608984871126</v>
      </c>
      <c r="F35" s="86">
        <f t="shared" si="3"/>
        <v>832.41767886142054</v>
      </c>
      <c r="G35" s="94">
        <v>23000</v>
      </c>
      <c r="H35" s="94">
        <f t="shared" si="10"/>
        <v>22750</v>
      </c>
      <c r="I35" s="100">
        <f t="shared" si="4"/>
        <v>1.3914279478188714E-2</v>
      </c>
      <c r="J35" s="99">
        <f t="shared" si="12"/>
        <v>4.4453240587516022E-3</v>
      </c>
      <c r="K35" s="100">
        <f t="shared" si="5"/>
        <v>1.8359603536940317E-2</v>
      </c>
      <c r="L35" s="101">
        <v>0.3</v>
      </c>
      <c r="M35" s="94"/>
      <c r="N35" s="94">
        <f t="shared" si="11"/>
        <v>48511.522569680295</v>
      </c>
      <c r="O35" s="94">
        <f t="shared" si="6"/>
        <v>36421.315782466336</v>
      </c>
      <c r="P35" s="94">
        <f t="shared" si="6"/>
        <v>29175.802877042221</v>
      </c>
      <c r="Q35" s="94">
        <f t="shared" si="6"/>
        <v>24352.636912513019</v>
      </c>
      <c r="R35" s="94">
        <f t="shared" si="6"/>
        <v>20913.66919992377</v>
      </c>
      <c r="S35" s="94">
        <f t="shared" si="6"/>
        <v>18339.825394796997</v>
      </c>
      <c r="T35" s="94">
        <f t="shared" si="6"/>
        <v>16342.730861311869</v>
      </c>
      <c r="U35" s="94">
        <f t="shared" si="6"/>
        <v>14749.360817975896</v>
      </c>
      <c r="V35" s="94">
        <f t="shared" si="6"/>
        <v>13449.608585657485</v>
      </c>
      <c r="W35" s="94">
        <f t="shared" si="6"/>
        <v>12370.069711602249</v>
      </c>
      <c r="X35" s="94">
        <f t="shared" si="6"/>
        <v>11459.925728518689</v>
      </c>
      <c r="Y35" s="94">
        <f t="shared" si="7"/>
        <v>10682.877731198583</v>
      </c>
      <c r="Z35" s="94">
        <f t="shared" si="7"/>
        <v>10012.306522489243</v>
      </c>
      <c r="AA35" s="94">
        <f t="shared" si="7"/>
        <v>9428.2477045261512</v>
      </c>
      <c r="AB35" s="94">
        <f t="shared" si="7"/>
        <v>8915.4343848246754</v>
      </c>
      <c r="AC35" s="94">
        <f t="shared" si="7"/>
        <v>8461.9923136745438</v>
      </c>
      <c r="AD35" s="94">
        <f t="shared" si="7"/>
        <v>8058.5470834097578</v>
      </c>
      <c r="AE35" s="94">
        <f t="shared" si="7"/>
        <v>7697.5991678975151</v>
      </c>
      <c r="AF35" s="94">
        <f t="shared" si="7"/>
        <v>7373.0775221731637</v>
      </c>
      <c r="AG35" s="94">
        <f t="shared" si="7"/>
        <v>7080.0149276292659</v>
      </c>
      <c r="AH35" s="94">
        <f t="shared" si="7"/>
        <v>6814.3080297640226</v>
      </c>
      <c r="AI35" s="94">
        <f t="shared" si="7"/>
        <v>6572.5373664926046</v>
      </c>
    </row>
    <row r="36" spans="1:35" ht="12.75" x14ac:dyDescent="0.2">
      <c r="A36" s="83"/>
      <c r="B36" s="84">
        <v>1.45</v>
      </c>
      <c r="C36" s="86">
        <f t="shared" si="2"/>
        <v>1533.9512931368238</v>
      </c>
      <c r="D36" s="98">
        <f t="shared" si="8"/>
        <v>1.4249999999999998</v>
      </c>
      <c r="E36" s="86">
        <f t="shared" si="9"/>
        <v>1507.5038570482579</v>
      </c>
      <c r="F36" s="86">
        <f t="shared" si="3"/>
        <v>894.05786400686134</v>
      </c>
      <c r="G36" s="94">
        <f>(G35+G37)/2</f>
        <v>23250</v>
      </c>
      <c r="H36" s="94">
        <f t="shared" si="10"/>
        <v>23125</v>
      </c>
      <c r="I36" s="100">
        <f t="shared" si="4"/>
        <v>1.3914279478188714E-2</v>
      </c>
      <c r="J36" s="99">
        <f t="shared" si="12"/>
        <v>4.4196375332776067E-3</v>
      </c>
      <c r="K36" s="100">
        <f t="shared" si="5"/>
        <v>1.8333917011466319E-2</v>
      </c>
      <c r="L36" s="101">
        <v>0.30499999999999999</v>
      </c>
      <c r="M36" s="94"/>
      <c r="N36" s="94">
        <f t="shared" si="11"/>
        <v>52022.747645689829</v>
      </c>
      <c r="O36" s="94">
        <f t="shared" si="6"/>
        <v>39052.721799887091</v>
      </c>
      <c r="P36" s="94">
        <f t="shared" si="6"/>
        <v>31278.857393118538</v>
      </c>
      <c r="Q36" s="94">
        <f t="shared" si="6"/>
        <v>26103.07370586706</v>
      </c>
      <c r="R36" s="94">
        <f t="shared" si="6"/>
        <v>22411.907572625343</v>
      </c>
      <c r="S36" s="94">
        <f t="shared" si="6"/>
        <v>19648.627410639736</v>
      </c>
      <c r="T36" s="94">
        <f t="shared" si="6"/>
        <v>17503.937896158193</v>
      </c>
      <c r="U36" s="94">
        <f t="shared" si="6"/>
        <v>15792.261834929508</v>
      </c>
      <c r="V36" s="94">
        <f t="shared" si="6"/>
        <v>14395.504648793791</v>
      </c>
      <c r="W36" s="94">
        <f t="shared" si="6"/>
        <v>13234.936618977812</v>
      </c>
      <c r="X36" s="94">
        <f t="shared" si="6"/>
        <v>12256.052555561631</v>
      </c>
      <c r="Y36" s="94">
        <f t="shared" si="7"/>
        <v>11419.920180031004</v>
      </c>
      <c r="Z36" s="94">
        <f t="shared" si="7"/>
        <v>10697.98915480882</v>
      </c>
      <c r="AA36" s="94">
        <f t="shared" si="7"/>
        <v>10068.846726712247</v>
      </c>
      <c r="AB36" s="94">
        <f t="shared" si="7"/>
        <v>9516.1184374250006</v>
      </c>
      <c r="AC36" s="94">
        <f t="shared" si="7"/>
        <v>9027.0685971455241</v>
      </c>
      <c r="AD36" s="94">
        <f t="shared" si="7"/>
        <v>8591.6427139252246</v>
      </c>
      <c r="AE36" s="94">
        <f t="shared" si="7"/>
        <v>8201.7971942052263</v>
      </c>
      <c r="AF36" s="94">
        <f t="shared" si="7"/>
        <v>7851.0205574854817</v>
      </c>
      <c r="AG36" s="94">
        <f t="shared" si="7"/>
        <v>7533.9852288114171</v>
      </c>
      <c r="AH36" s="94">
        <f t="shared" si="7"/>
        <v>7246.2901680031546</v>
      </c>
      <c r="AI36" s="94">
        <f t="shared" si="7"/>
        <v>6984.2678415774744</v>
      </c>
    </row>
    <row r="37" spans="1:35" ht="12.75" x14ac:dyDescent="0.2">
      <c r="A37" s="83"/>
      <c r="B37" s="84">
        <v>1.5</v>
      </c>
      <c r="C37" s="86">
        <f t="shared" si="2"/>
        <v>1586.8461653139557</v>
      </c>
      <c r="D37" s="98">
        <f t="shared" si="8"/>
        <v>1.4750000000000001</v>
      </c>
      <c r="E37" s="86">
        <f t="shared" si="9"/>
        <v>1560.3987292253896</v>
      </c>
      <c r="F37" s="86">
        <f t="shared" si="3"/>
        <v>957.89948433606764</v>
      </c>
      <c r="G37" s="94">
        <v>23500</v>
      </c>
      <c r="H37" s="94">
        <f t="shared" si="10"/>
        <v>23375</v>
      </c>
      <c r="I37" s="100">
        <f t="shared" si="4"/>
        <v>1.3914279478188714E-2</v>
      </c>
      <c r="J37" s="99">
        <f t="shared" si="12"/>
        <v>4.3960844503879324E-3</v>
      </c>
      <c r="K37" s="100">
        <f t="shared" si="5"/>
        <v>1.8310363928576646E-2</v>
      </c>
      <c r="L37" s="101">
        <v>0.31</v>
      </c>
      <c r="M37" s="94"/>
      <c r="N37" s="94">
        <f t="shared" si="11"/>
        <v>55658.489857897795</v>
      </c>
      <c r="O37" s="94">
        <f t="shared" si="6"/>
        <v>41777.697382621409</v>
      </c>
      <c r="P37" s="94">
        <f t="shared" si="6"/>
        <v>33456.95446641514</v>
      </c>
      <c r="Q37" s="94">
        <f t="shared" si="6"/>
        <v>27916.236329743911</v>
      </c>
      <c r="R37" s="94">
        <f t="shared" si="6"/>
        <v>23964.103781378435</v>
      </c>
      <c r="S37" s="94">
        <f t="shared" si="6"/>
        <v>21004.837225704057</v>
      </c>
      <c r="T37" s="94">
        <f t="shared" si="6"/>
        <v>18707.481331823736</v>
      </c>
      <c r="U37" s="94">
        <f t="shared" si="6"/>
        <v>16873.462901199262</v>
      </c>
      <c r="V37" s="94">
        <f t="shared" si="6"/>
        <v>15376.417171124482</v>
      </c>
      <c r="W37" s="94">
        <f t="shared" si="6"/>
        <v>14132.100966461985</v>
      </c>
      <c r="X37" s="94">
        <f t="shared" si="6"/>
        <v>13082.192089039701</v>
      </c>
      <c r="Y37" s="94">
        <f t="shared" si="7"/>
        <v>12185.031825877586</v>
      </c>
      <c r="Z37" s="94">
        <f t="shared" si="7"/>
        <v>11410.070454123605</v>
      </c>
      <c r="AA37" s="94">
        <f t="shared" si="7"/>
        <v>10734.395681638734</v>
      </c>
      <c r="AB37" s="94">
        <f t="shared" si="7"/>
        <v>10140.486343846071</v>
      </c>
      <c r="AC37" s="94">
        <f t="shared" si="7"/>
        <v>9614.7148682969128</v>
      </c>
      <c r="AD37" s="94">
        <f t="shared" si="7"/>
        <v>9146.3226451633382</v>
      </c>
      <c r="AE37" s="94">
        <f t="shared" si="7"/>
        <v>8726.7027865830132</v>
      </c>
      <c r="AF37" s="94">
        <f t="shared" si="7"/>
        <v>8348.887811905468</v>
      </c>
      <c r="AG37" s="94">
        <f t="shared" si="7"/>
        <v>8007.1770551439622</v>
      </c>
      <c r="AH37" s="94">
        <f t="shared" si="7"/>
        <v>7696.8612704833604</v>
      </c>
      <c r="AI37" s="94">
        <f t="shared" si="7"/>
        <v>7414.0160864110512</v>
      </c>
    </row>
    <row r="38" spans="1:35" ht="12.75" x14ac:dyDescent="0.2">
      <c r="A38" s="83"/>
      <c r="B38" s="84">
        <v>1.55</v>
      </c>
      <c r="C38" s="86">
        <f t="shared" si="2"/>
        <v>1639.7410374910876</v>
      </c>
      <c r="D38" s="98">
        <f t="shared" si="8"/>
        <v>1.5249999999999999</v>
      </c>
      <c r="E38" s="86">
        <f t="shared" si="9"/>
        <v>1613.2936014025217</v>
      </c>
      <c r="F38" s="86">
        <f t="shared" si="3"/>
        <v>1023.9425398490401</v>
      </c>
      <c r="G38" s="94">
        <f>(G37+G39)/2</f>
        <v>23750</v>
      </c>
      <c r="H38" s="94">
        <f t="shared" si="10"/>
        <v>23625</v>
      </c>
      <c r="I38" s="100">
        <f t="shared" si="4"/>
        <v>1.3914279478188714E-2</v>
      </c>
      <c r="J38" s="99">
        <f t="shared" si="12"/>
        <v>4.3741692243078681E-3</v>
      </c>
      <c r="K38" s="100">
        <f t="shared" si="5"/>
        <v>1.8288448702496581E-2</v>
      </c>
      <c r="L38" s="101">
        <v>0.315</v>
      </c>
      <c r="M38" s="94"/>
      <c r="N38" s="94">
        <f t="shared" si="11"/>
        <v>59417.904746507702</v>
      </c>
      <c r="O38" s="94">
        <f t="shared" si="6"/>
        <v>44595.587007233211</v>
      </c>
      <c r="P38" s="94">
        <f t="shared" si="6"/>
        <v>35709.546865920514</v>
      </c>
      <c r="Q38" s="94">
        <f t="shared" si="6"/>
        <v>29791.645523588693</v>
      </c>
      <c r="R38" s="94">
        <f t="shared" si="6"/>
        <v>25569.823494960245</v>
      </c>
      <c r="S38" s="94">
        <f t="shared" si="6"/>
        <v>22408.051037396399</v>
      </c>
      <c r="T38" s="94">
        <f t="shared" si="6"/>
        <v>19952.978293875618</v>
      </c>
      <c r="U38" s="94">
        <f t="shared" si="6"/>
        <v>17992.595350184994</v>
      </c>
      <c r="V38" s="94">
        <f t="shared" si="6"/>
        <v>16391.986806370835</v>
      </c>
      <c r="W38" s="94">
        <f t="shared" si="6"/>
        <v>15061.209062464035</v>
      </c>
      <c r="X38" s="94">
        <f t="shared" si="6"/>
        <v>13937.993472332117</v>
      </c>
      <c r="Y38" s="94">
        <f t="shared" si="7"/>
        <v>12977.862431594758</v>
      </c>
      <c r="Z38" s="94">
        <f t="shared" si="7"/>
        <v>12148.19903037304</v>
      </c>
      <c r="AA38" s="94">
        <f t="shared" si="7"/>
        <v>11424.540586257783</v>
      </c>
      <c r="AB38" s="94">
        <f t="shared" si="7"/>
        <v>10788.180342112551</v>
      </c>
      <c r="AC38" s="94">
        <f t="shared" si="7"/>
        <v>10224.568597942342</v>
      </c>
      <c r="AD38" s="94">
        <f t="shared" si="7"/>
        <v>9722.2187484879414</v>
      </c>
      <c r="AE38" s="94">
        <f t="shared" si="7"/>
        <v>9271.9415095419772</v>
      </c>
      <c r="AF38" s="94">
        <f t="shared" si="7"/>
        <v>8866.2979367460994</v>
      </c>
      <c r="AG38" s="94">
        <f t="shared" si="7"/>
        <v>8499.2016210798465</v>
      </c>
      <c r="AH38" s="94">
        <f t="shared" si="7"/>
        <v>8165.6246594393497</v>
      </c>
      <c r="AI38" s="94">
        <f t="shared" si="7"/>
        <v>7861.3771325713933</v>
      </c>
    </row>
    <row r="39" spans="1:35" ht="12.75" x14ac:dyDescent="0.2">
      <c r="A39" s="83"/>
      <c r="B39" s="84">
        <v>1.6</v>
      </c>
      <c r="C39" s="86">
        <f t="shared" si="2"/>
        <v>1692.6359096682195</v>
      </c>
      <c r="D39" s="98">
        <f t="shared" si="8"/>
        <v>1.5750000000000002</v>
      </c>
      <c r="E39" s="86">
        <f t="shared" si="9"/>
        <v>1666.1884735796534</v>
      </c>
      <c r="F39" s="86">
        <f t="shared" si="3"/>
        <v>1092.187030545778</v>
      </c>
      <c r="G39" s="94">
        <v>24000</v>
      </c>
      <c r="H39" s="94">
        <f t="shared" si="10"/>
        <v>23875</v>
      </c>
      <c r="I39" s="100">
        <f t="shared" si="4"/>
        <v>1.3914279478188714E-2</v>
      </c>
      <c r="J39" s="99">
        <f>EWD*(1-0.386*(B39-1.2)^0.57*(1-PI()*LESWEEP^0.77/100))*$C$11</f>
        <v>4.3535649862736486E-3</v>
      </c>
      <c r="K39" s="100">
        <f t="shared" si="5"/>
        <v>1.8267844464462363E-2</v>
      </c>
      <c r="L39" s="101">
        <v>0.32</v>
      </c>
      <c r="M39" s="94"/>
      <c r="N39" s="94">
        <f>($F39*$K39/N$19+$L39/$F39*N$19)*$C$10</f>
        <v>63300.398205868929</v>
      </c>
      <c r="O39" s="94">
        <f t="shared" si="6"/>
        <v>47505.92626155675</v>
      </c>
      <c r="P39" s="94">
        <f t="shared" si="6"/>
        <v>38036.243690890602</v>
      </c>
      <c r="Q39" s="94">
        <f t="shared" si="6"/>
        <v>31728.955807047456</v>
      </c>
      <c r="R39" s="94">
        <f t="shared" si="6"/>
        <v>27228.750601388889</v>
      </c>
      <c r="S39" s="94">
        <f t="shared" si="6"/>
        <v>23857.972069595697</v>
      </c>
      <c r="T39" s="94">
        <f t="shared" si="6"/>
        <v>21240.144653712738</v>
      </c>
      <c r="U39" s="94">
        <f t="shared" si="6"/>
        <v>19149.383018966953</v>
      </c>
      <c r="V39" s="94">
        <f t="shared" si="6"/>
        <v>17441.941952320918</v>
      </c>
      <c r="W39" s="94">
        <f t="shared" si="6"/>
        <v>16021.991311749709</v>
      </c>
      <c r="X39" s="94">
        <f>($F39*$K39/X$19+$L39/$F39*X$19)*$C$10</f>
        <v>14823.187152774513</v>
      </c>
      <c r="Y39" s="94">
        <f t="shared" si="7"/>
        <v>13798.140943624756</v>
      </c>
      <c r="Z39" s="94">
        <f t="shared" si="7"/>
        <v>12912.101094335356</v>
      </c>
      <c r="AA39" s="94">
        <f t="shared" si="7"/>
        <v>12139.00391243249</v>
      </c>
      <c r="AB39" s="94">
        <f t="shared" si="7"/>
        <v>11458.918338965594</v>
      </c>
      <c r="AC39" s="94">
        <f t="shared" si="7"/>
        <v>10856.342439195341</v>
      </c>
      <c r="AD39" s="94">
        <f t="shared" si="7"/>
        <v>10319.037843590682</v>
      </c>
      <c r="AE39" s="94">
        <f t="shared" si="7"/>
        <v>9837.2138565267778</v>
      </c>
      <c r="AF39" s="94">
        <f t="shared" si="7"/>
        <v>9402.9446767835198</v>
      </c>
      <c r="AG39" s="94">
        <f t="shared" si="7"/>
        <v>9009.7455579080925</v>
      </c>
      <c r="AH39" s="94">
        <f t="shared" si="7"/>
        <v>8652.2595354394762</v>
      </c>
      <c r="AI39" s="94">
        <f t="shared" si="7"/>
        <v>8326.0224723268184</v>
      </c>
    </row>
    <row r="40" spans="1:35" ht="12.75" x14ac:dyDescent="0.2">
      <c r="B40" s="81"/>
      <c r="C40" s="80"/>
      <c r="D40" s="89"/>
      <c r="E40" s="80"/>
      <c r="F40" s="80"/>
      <c r="G40" s="82"/>
      <c r="H40" s="82"/>
      <c r="I40" s="87"/>
      <c r="J40" s="91"/>
      <c r="K40" s="87"/>
      <c r="L40" s="92"/>
      <c r="M40" s="90"/>
      <c r="N40" s="82"/>
      <c r="O40" s="82"/>
      <c r="P40" s="82"/>
      <c r="Q40" s="82"/>
      <c r="R40" s="82"/>
      <c r="S40" s="82"/>
      <c r="T40" s="82"/>
      <c r="U40" s="82"/>
      <c r="V40" s="82"/>
      <c r="W40" s="82"/>
      <c r="X40" s="82"/>
      <c r="Y40" s="82"/>
      <c r="Z40" s="82"/>
      <c r="AA40" s="82"/>
      <c r="AB40" s="82"/>
      <c r="AC40" s="82"/>
      <c r="AD40" s="82"/>
      <c r="AE40" s="82"/>
      <c r="AF40" s="82"/>
      <c r="AG40" s="82"/>
      <c r="AH40" s="82"/>
      <c r="AI40" s="82"/>
    </row>
    <row r="41" spans="1:35" ht="12.75" x14ac:dyDescent="0.2">
      <c r="B41" s="4"/>
    </row>
    <row r="42" spans="1:35" ht="12.75" x14ac:dyDescent="0.2">
      <c r="B42" s="4"/>
      <c r="M42" s="104" t="s">
        <v>411</v>
      </c>
      <c r="N42" s="102" t="s">
        <v>805</v>
      </c>
      <c r="O42" s="102" t="s">
        <v>805</v>
      </c>
      <c r="P42" s="102" t="s">
        <v>805</v>
      </c>
      <c r="Q42" s="102" t="s">
        <v>805</v>
      </c>
      <c r="R42" s="102" t="s">
        <v>805</v>
      </c>
      <c r="S42" s="102" t="s">
        <v>805</v>
      </c>
      <c r="T42" s="102" t="s">
        <v>805</v>
      </c>
      <c r="U42" s="102" t="s">
        <v>805</v>
      </c>
      <c r="V42" s="102" t="s">
        <v>805</v>
      </c>
      <c r="W42" s="102" t="s">
        <v>805</v>
      </c>
      <c r="X42" s="102" t="s">
        <v>805</v>
      </c>
      <c r="Y42" s="102" t="s">
        <v>805</v>
      </c>
      <c r="Z42" s="102" t="s">
        <v>805</v>
      </c>
      <c r="AA42" s="102" t="s">
        <v>805</v>
      </c>
      <c r="AB42" s="102" t="s">
        <v>805</v>
      </c>
      <c r="AC42" s="102" t="s">
        <v>805</v>
      </c>
      <c r="AD42" s="102" t="s">
        <v>805</v>
      </c>
      <c r="AE42" s="102" t="s">
        <v>805</v>
      </c>
      <c r="AF42" s="102" t="s">
        <v>805</v>
      </c>
      <c r="AG42" s="102" t="s">
        <v>805</v>
      </c>
      <c r="AH42" s="102" t="s">
        <v>805</v>
      </c>
      <c r="AI42" s="102" t="s">
        <v>805</v>
      </c>
    </row>
    <row r="43" spans="1:35" ht="12.75" x14ac:dyDescent="0.2">
      <c r="M43" s="84">
        <v>0.8</v>
      </c>
      <c r="N43" s="94"/>
      <c r="O43" s="83"/>
      <c r="P43" s="83"/>
      <c r="Q43" s="83"/>
      <c r="R43" s="83"/>
      <c r="S43" s="83"/>
      <c r="T43" s="83"/>
      <c r="U43" s="83"/>
      <c r="V43" s="83"/>
      <c r="W43" s="83"/>
      <c r="X43" s="83"/>
      <c r="Y43" s="83"/>
      <c r="Z43" s="83"/>
      <c r="AA43" s="83"/>
      <c r="AB43" s="83"/>
      <c r="AC43" s="83"/>
      <c r="AD43" s="83"/>
      <c r="AE43" s="83"/>
      <c r="AF43" s="83"/>
      <c r="AG43" s="83"/>
      <c r="AH43" s="83"/>
      <c r="AI43" s="83"/>
    </row>
    <row r="44" spans="1:35" ht="12.75" x14ac:dyDescent="0.2">
      <c r="M44" s="84">
        <v>0.85</v>
      </c>
      <c r="N44" s="103">
        <f t="shared" ref="N44:U44" si="13">($C24-$C23)*$C$10/32.18/(($G24/$N$20)*N$21*$C$10-N24)</f>
        <v>0.95151036487375873</v>
      </c>
      <c r="O44" s="103">
        <f t="shared" si="13"/>
        <v>1.1685428340433119</v>
      </c>
      <c r="P44" s="103">
        <f t="shared" si="13"/>
        <v>2.0525436601369758</v>
      </c>
      <c r="Q44" s="103">
        <f t="shared" si="13"/>
        <v>2.6387670524712195</v>
      </c>
      <c r="R44" s="103">
        <f t="shared" si="13"/>
        <v>2.7602293926972385</v>
      </c>
      <c r="S44" s="103">
        <f t="shared" si="13"/>
        <v>2.9270403348504748</v>
      </c>
      <c r="T44" s="103">
        <f t="shared" si="13"/>
        <v>3.0673310859671461</v>
      </c>
      <c r="U44" s="103">
        <f t="shared" si="13"/>
        <v>3.1874592640107524</v>
      </c>
      <c r="V44" s="103">
        <f>($C24-$C23)*$C$10/32.18/(($G24/$N$20)*V$21*$C$10-V24)</f>
        <v>3.2914804108549736</v>
      </c>
      <c r="W44" s="103">
        <f>($C24-$C23)*$C$10/32.18/(($G24/$N$20)*W$21*$C$10-W24)</f>
        <v>3.3828456371411062</v>
      </c>
      <c r="X44" s="103">
        <f t="shared" ref="X44:AI44" si="14">($C24-$C23)*$C$10/32.18/(($G24/$N$20)*X$21*$C$10-X24)</f>
        <v>3.4639938983984782</v>
      </c>
      <c r="Y44" s="103">
        <f t="shared" si="14"/>
        <v>3.536782455685143</v>
      </c>
      <c r="Z44" s="103">
        <f t="shared" si="14"/>
        <v>3.6015877335032842</v>
      </c>
      <c r="AA44" s="103">
        <f t="shared" si="14"/>
        <v>2.5845406683295904</v>
      </c>
      <c r="AB44" s="103">
        <f t="shared" si="14"/>
        <v>2.6670198865388195</v>
      </c>
      <c r="AC44" s="103">
        <f t="shared" si="14"/>
        <v>2.7444464836131299</v>
      </c>
      <c r="AD44" s="103">
        <f t="shared" si="14"/>
        <v>2.8173369461687803</v>
      </c>
      <c r="AE44" s="103">
        <f t="shared" si="14"/>
        <v>2.8861396491843259</v>
      </c>
      <c r="AF44" s="103">
        <f t="shared" si="14"/>
        <v>2.9512540308949324</v>
      </c>
      <c r="AG44" s="103">
        <f t="shared" si="14"/>
        <v>2.0719084060495665</v>
      </c>
      <c r="AH44" s="103">
        <f t="shared" si="14"/>
        <v>2.0685799043439173</v>
      </c>
      <c r="AI44" s="103">
        <f t="shared" si="14"/>
        <v>2.0659778340505865</v>
      </c>
    </row>
    <row r="45" spans="1:35" ht="12.75" x14ac:dyDescent="0.2">
      <c r="M45" s="84">
        <v>0.9</v>
      </c>
      <c r="N45" s="103">
        <f t="shared" ref="N45:U45" si="15">($C25-$C24)*$C$10/32.18/(($G25/$N$20)*N$21*$C$10-N25)</f>
        <v>0.92570392015790226</v>
      </c>
      <c r="O45" s="103">
        <f t="shared" si="15"/>
        <v>1.1340353774495795</v>
      </c>
      <c r="P45" s="103">
        <f t="shared" si="15"/>
        <v>2.0094149087285649</v>
      </c>
      <c r="Q45" s="103">
        <f t="shared" si="15"/>
        <v>2.5866228044298976</v>
      </c>
      <c r="R45" s="103">
        <f t="shared" si="15"/>
        <v>2.6933436077067321</v>
      </c>
      <c r="S45" s="103">
        <f t="shared" si="15"/>
        <v>2.8468322991983102</v>
      </c>
      <c r="T45" s="103">
        <f t="shared" si="15"/>
        <v>2.9743939715203842</v>
      </c>
      <c r="U45" s="103">
        <f t="shared" si="15"/>
        <v>3.0824215932232599</v>
      </c>
      <c r="V45" s="103">
        <f t="shared" ref="V45" si="16">($C25-$C24)*$C$10/32.18/(($G25/$N$20)*V$21*$C$10-V25)</f>
        <v>3.1749548891594204</v>
      </c>
      <c r="W45" s="103">
        <f t="shared" ref="W45:W59" si="17">($C25-$C24)*$C$10/32.18/(($G25/$N$20)*W$21*$C$10-W25)</f>
        <v>3.2553978900399172</v>
      </c>
      <c r="X45" s="103">
        <f t="shared" ref="X45:AI45" si="18">($C25-$C24)*$C$10/32.18/(($G25/$N$20)*X$21*$C$10-X25)</f>
        <v>3.3261352941226954</v>
      </c>
      <c r="Y45" s="103">
        <f t="shared" si="18"/>
        <v>3.3889693988549987</v>
      </c>
      <c r="Z45" s="103">
        <f t="shared" si="18"/>
        <v>3.4442624275437765</v>
      </c>
      <c r="AA45" s="103">
        <f t="shared" si="18"/>
        <v>2.462235388051965</v>
      </c>
      <c r="AB45" s="103">
        <f t="shared" si="18"/>
        <v>2.5377403521985578</v>
      </c>
      <c r="AC45" s="103">
        <f t="shared" si="18"/>
        <v>2.6082713966909408</v>
      </c>
      <c r="AD45" s="103">
        <f t="shared" si="18"/>
        <v>2.6743383210945559</v>
      </c>
      <c r="AE45" s="103">
        <f t="shared" si="18"/>
        <v>2.7363831598603614</v>
      </c>
      <c r="AF45" s="103">
        <f t="shared" si="18"/>
        <v>2.7947989245429046</v>
      </c>
      <c r="AG45" s="103">
        <f t="shared" si="18"/>
        <v>1.9613077906241287</v>
      </c>
      <c r="AH45" s="103">
        <f t="shared" si="18"/>
        <v>1.95667461306908</v>
      </c>
      <c r="AI45" s="103">
        <f t="shared" si="18"/>
        <v>1.9527916311306972</v>
      </c>
    </row>
    <row r="46" spans="1:35" ht="12.75" x14ac:dyDescent="0.2">
      <c r="M46" s="84">
        <v>0.95</v>
      </c>
      <c r="N46" s="103">
        <f t="shared" ref="N46:U46" si="19">($C26-$C25)*$C$10/32.18/(($G26/$N$20)*N$21*$C$10-N26)</f>
        <v>0.91097015225056577</v>
      </c>
      <c r="O46" s="103">
        <f t="shared" si="19"/>
        <v>1.1124901052533527</v>
      </c>
      <c r="P46" s="103">
        <f t="shared" si="19"/>
        <v>1.9966087243468083</v>
      </c>
      <c r="Q46" s="103">
        <f t="shared" si="19"/>
        <v>2.5767013339692455</v>
      </c>
      <c r="R46" s="103">
        <f t="shared" si="19"/>
        <v>2.6672907417154996</v>
      </c>
      <c r="S46" s="103">
        <f t="shared" si="19"/>
        <v>2.8082393376379371</v>
      </c>
      <c r="T46" s="103">
        <f t="shared" si="19"/>
        <v>2.9237655644080252</v>
      </c>
      <c r="U46" s="103">
        <f t="shared" si="19"/>
        <v>3.0203976491540101</v>
      </c>
      <c r="V46" s="103">
        <f t="shared" ref="V46" si="20">($C26-$C25)*$C$10/32.18/(($G26/$N$20)*V$21*$C$10-V26)</f>
        <v>3.1021973594788417</v>
      </c>
      <c r="W46" s="103">
        <f t="shared" si="17"/>
        <v>3.17254798729329</v>
      </c>
      <c r="X46" s="103">
        <f t="shared" ref="X46:AI46" si="21">($C26-$C25)*$C$10/32.18/(($G26/$N$20)*X$21*$C$10-X26)</f>
        <v>3.233788342166052</v>
      </c>
      <c r="Y46" s="103">
        <f t="shared" si="21"/>
        <v>3.2876672377471028</v>
      </c>
      <c r="Z46" s="103">
        <f t="shared" si="21"/>
        <v>3.3345075404966189</v>
      </c>
      <c r="AA46" s="103">
        <f t="shared" si="21"/>
        <v>2.3678675226300023</v>
      </c>
      <c r="AB46" s="103">
        <f t="shared" si="21"/>
        <v>2.4378645906203107</v>
      </c>
      <c r="AC46" s="103">
        <f t="shared" si="21"/>
        <v>2.5029821421553695</v>
      </c>
      <c r="AD46" s="103">
        <f t="shared" si="21"/>
        <v>2.5637266583856984</v>
      </c>
      <c r="AE46" s="103">
        <f t="shared" si="21"/>
        <v>2.6205364253727144</v>
      </c>
      <c r="AF46" s="103">
        <f t="shared" si="21"/>
        <v>2.6738001779892357</v>
      </c>
      <c r="AG46" s="103">
        <f t="shared" si="21"/>
        <v>1.8715116658654485</v>
      </c>
      <c r="AH46" s="103">
        <f t="shared" si="21"/>
        <v>1.8657351972279104</v>
      </c>
      <c r="AI46" s="103">
        <f t="shared" si="21"/>
        <v>1.8607562383509368</v>
      </c>
    </row>
    <row r="47" spans="1:35" ht="12.75" x14ac:dyDescent="0.2">
      <c r="M47" s="84">
        <v>1</v>
      </c>
      <c r="N47" s="103">
        <f t="shared" ref="N47:U47" si="22">($C27-$C26)*$C$10/32.18/(($G27/$N$20)*N$21*$C$10-N27)</f>
        <v>0.93469591080823911</v>
      </c>
      <c r="O47" s="103">
        <f t="shared" si="22"/>
        <v>1.1339020927772738</v>
      </c>
      <c r="P47" s="103">
        <f t="shared" si="22"/>
        <v>2.0975414603698299</v>
      </c>
      <c r="Q47" s="103">
        <f t="shared" si="22"/>
        <v>2.726387530020657</v>
      </c>
      <c r="R47" s="103">
        <f t="shared" si="22"/>
        <v>2.7859300280106845</v>
      </c>
      <c r="S47" s="103">
        <f t="shared" si="22"/>
        <v>2.9092954313787995</v>
      </c>
      <c r="T47" s="103">
        <f t="shared" si="22"/>
        <v>3.0074566759229731</v>
      </c>
      <c r="U47" s="103">
        <f t="shared" si="22"/>
        <v>3.0875198929547727</v>
      </c>
      <c r="V47" s="103">
        <f t="shared" ref="V47" si="23">($C27-$C26)*$C$10/32.18/(($G27/$N$20)*V$21*$C$10-V27)</f>
        <v>3.1537264849740261</v>
      </c>
      <c r="W47" s="103">
        <f t="shared" si="17"/>
        <v>3.2095312501219597</v>
      </c>
      <c r="X47" s="103">
        <f t="shared" ref="X47:AI47" si="24">($C27-$C26)*$C$10/32.18/(($G27/$N$20)*X$21*$C$10-X27)</f>
        <v>3.2572422929051035</v>
      </c>
      <c r="Y47" s="103">
        <f t="shared" si="24"/>
        <v>3.2985415736454655</v>
      </c>
      <c r="Z47" s="103">
        <f t="shared" si="24"/>
        <v>3.3336227692059128</v>
      </c>
      <c r="AA47" s="103">
        <f t="shared" si="24"/>
        <v>2.3279245936881714</v>
      </c>
      <c r="AB47" s="103">
        <f t="shared" si="24"/>
        <v>2.393090207356412</v>
      </c>
      <c r="AC47" s="103">
        <f t="shared" si="24"/>
        <v>2.453401722132043</v>
      </c>
      <c r="AD47" s="103">
        <f t="shared" si="24"/>
        <v>2.5093803569430881</v>
      </c>
      <c r="AE47" s="103">
        <f t="shared" si="24"/>
        <v>2.5614749592457362</v>
      </c>
      <c r="AF47" s="103">
        <f t="shared" si="24"/>
        <v>2.6100816530508588</v>
      </c>
      <c r="AG47" s="103">
        <f t="shared" si="24"/>
        <v>1.811612040542498</v>
      </c>
      <c r="AH47" s="103">
        <f t="shared" si="24"/>
        <v>1.803960882174839</v>
      </c>
      <c r="AI47" s="103">
        <f t="shared" si="24"/>
        <v>1.7972509472977609</v>
      </c>
    </row>
    <row r="48" spans="1:35" ht="12.75" x14ac:dyDescent="0.2">
      <c r="M48" s="84">
        <v>1.05</v>
      </c>
      <c r="N48" s="103">
        <f t="shared" ref="N48:U48" si="25">($C28-$C27)*$C$10/32.18/(($G28/$N$20)*N$21*$C$10-N28)</f>
        <v>0.97382236924439425</v>
      </c>
      <c r="O48" s="103">
        <f t="shared" si="25"/>
        <v>1.1697987234254963</v>
      </c>
      <c r="P48" s="103">
        <f t="shared" si="25"/>
        <v>2.2675067006397027</v>
      </c>
      <c r="Q48" s="103">
        <f t="shared" si="25"/>
        <v>2.9822566867447877</v>
      </c>
      <c r="R48" s="103">
        <f t="shared" si="25"/>
        <v>2.9852727764907487</v>
      </c>
      <c r="S48" s="103">
        <f t="shared" si="25"/>
        <v>3.0785515596973427</v>
      </c>
      <c r="T48" s="103">
        <f t="shared" si="25"/>
        <v>3.1484333990223834</v>
      </c>
      <c r="U48" s="103">
        <f t="shared" si="25"/>
        <v>3.2025720399640827</v>
      </c>
      <c r="V48" s="103">
        <f t="shared" ref="V48" si="26">($C28-$C27)*$C$10/32.18/(($G28/$N$20)*V$21*$C$10-V28)</f>
        <v>3.2451859730837231</v>
      </c>
      <c r="W48" s="103">
        <f t="shared" si="17"/>
        <v>3.2796128252348011</v>
      </c>
      <c r="X48" s="103">
        <f t="shared" ref="X48:AI48" si="27">($C28-$C27)*$C$10/32.18/(($G28/$N$20)*X$21*$C$10-X28)</f>
        <v>3.3079421312069814</v>
      </c>
      <c r="Y48" s="103">
        <f t="shared" si="27"/>
        <v>3.3316274729312378</v>
      </c>
      <c r="Z48" s="103">
        <f t="shared" si="27"/>
        <v>3.3505703476105757</v>
      </c>
      <c r="AA48" s="103">
        <f t="shared" si="27"/>
        <v>2.2849547653128686</v>
      </c>
      <c r="AB48" s="103">
        <f t="shared" si="27"/>
        <v>2.3443866015489485</v>
      </c>
      <c r="AC48" s="103">
        <f t="shared" si="27"/>
        <v>2.3990295536663697</v>
      </c>
      <c r="AD48" s="103">
        <f t="shared" si="27"/>
        <v>2.4494227157049244</v>
      </c>
      <c r="AE48" s="103">
        <f t="shared" si="27"/>
        <v>2.4960271048617546</v>
      </c>
      <c r="AF48" s="103">
        <f t="shared" si="27"/>
        <v>2.5392468061762457</v>
      </c>
      <c r="AG48" s="103">
        <f t="shared" si="27"/>
        <v>1.7419465719783369</v>
      </c>
      <c r="AH48" s="103">
        <f t="shared" si="27"/>
        <v>1.7321124871125779</v>
      </c>
      <c r="AI48" s="103">
        <f t="shared" si="27"/>
        <v>1.7234070402596606</v>
      </c>
    </row>
    <row r="49" spans="10:35" ht="12.75" x14ac:dyDescent="0.2">
      <c r="M49" s="84">
        <v>1.1000000000000001</v>
      </c>
      <c r="N49" s="103">
        <f t="shared" ref="N49:U49" si="28">($C29-$C28)*$C$10/32.18/(($G29/$N$20)*N$21*$C$10-N29)</f>
        <v>0.96173942363040599</v>
      </c>
      <c r="O49" s="103">
        <f t="shared" si="28"/>
        <v>1.1498375668817151</v>
      </c>
      <c r="P49" s="103">
        <f t="shared" si="28"/>
        <v>2.2790116506053359</v>
      </c>
      <c r="Q49" s="103">
        <f t="shared" si="28"/>
        <v>3.014238868014107</v>
      </c>
      <c r="R49" s="103">
        <f t="shared" si="28"/>
        <v>2.985789767905584</v>
      </c>
      <c r="S49" s="103">
        <f t="shared" si="28"/>
        <v>3.0596109902135114</v>
      </c>
      <c r="T49" s="103">
        <f t="shared" si="28"/>
        <v>3.1123397808398447</v>
      </c>
      <c r="U49" s="103">
        <f t="shared" si="28"/>
        <v>3.151444845857629</v>
      </c>
      <c r="V49" s="103">
        <f t="shared" ref="V49" si="29">($C29-$C28)*$C$10/32.18/(($G29/$N$20)*V$21*$C$10-V29)</f>
        <v>3.1808468274767256</v>
      </c>
      <c r="W49" s="103">
        <f t="shared" si="17"/>
        <v>3.2036111652878487</v>
      </c>
      <c r="X49" s="103">
        <f t="shared" ref="X49:AI49" si="30">($C29-$C28)*$C$10/32.18/(($G29/$N$20)*X$21*$C$10-X29)</f>
        <v>3.2215799708676567</v>
      </c>
      <c r="Y49" s="103">
        <f t="shared" si="30"/>
        <v>3.2359985795670934</v>
      </c>
      <c r="Z49" s="103">
        <f t="shared" si="30"/>
        <v>3.246603143298044</v>
      </c>
      <c r="AA49" s="103">
        <f t="shared" si="30"/>
        <v>2.1925372140804713</v>
      </c>
      <c r="AB49" s="103">
        <f t="shared" si="30"/>
        <v>2.2473069072370504</v>
      </c>
      <c r="AC49" s="103">
        <f t="shared" si="30"/>
        <v>2.2974612954848657</v>
      </c>
      <c r="AD49" s="103">
        <f t="shared" si="30"/>
        <v>2.3435307520292308</v>
      </c>
      <c r="AE49" s="103">
        <f t="shared" si="30"/>
        <v>2.3859674568064206</v>
      </c>
      <c r="AF49" s="103">
        <f t="shared" si="30"/>
        <v>2.4251665198170103</v>
      </c>
      <c r="AG49" s="103">
        <f t="shared" si="30"/>
        <v>1.6566890302073491</v>
      </c>
      <c r="AH49" s="103">
        <f t="shared" si="30"/>
        <v>1.6462195310142642</v>
      </c>
      <c r="AI49" s="103">
        <f t="shared" si="30"/>
        <v>1.6369173717062493</v>
      </c>
    </row>
    <row r="50" spans="10:35" ht="12.75" x14ac:dyDescent="0.2">
      <c r="M50" s="84">
        <v>1.1499999999999999</v>
      </c>
      <c r="N50" s="103">
        <f t="shared" ref="N50:U50" si="31">($C30-$C29)*$C$10/32.18/(($G30/$N$20)*N$21*$C$10-N30)</f>
        <v>0.92703648896014712</v>
      </c>
      <c r="O50" s="103">
        <f t="shared" si="31"/>
        <v>1.1061468165504202</v>
      </c>
      <c r="P50" s="103">
        <f t="shared" si="31"/>
        <v>2.2115905375928744</v>
      </c>
      <c r="Q50" s="103">
        <f t="shared" si="31"/>
        <v>2.9308551943323131</v>
      </c>
      <c r="R50" s="103">
        <f t="shared" si="31"/>
        <v>2.8902105235487592</v>
      </c>
      <c r="S50" s="103">
        <f t="shared" si="31"/>
        <v>2.9534613591486063</v>
      </c>
      <c r="T50" s="103">
        <f t="shared" si="31"/>
        <v>2.9973040126985384</v>
      </c>
      <c r="U50" s="103">
        <f t="shared" si="31"/>
        <v>3.0288563611098169</v>
      </c>
      <c r="V50" s="103">
        <f t="shared" ref="V50" si="32">($C30-$C29)*$C$10/32.18/(($G30/$N$20)*V$21*$C$10-V30)</f>
        <v>3.0517715579686517</v>
      </c>
      <c r="W50" s="103">
        <f t="shared" si="17"/>
        <v>3.068892373361702</v>
      </c>
      <c r="X50" s="103">
        <f t="shared" ref="X50:AI50" si="33">($C30-$C29)*$C$10/32.18/(($G30/$N$20)*X$21*$C$10-X30)</f>
        <v>3.0818939206308062</v>
      </c>
      <c r="Y50" s="103">
        <f t="shared" si="33"/>
        <v>3.0918930830177058</v>
      </c>
      <c r="Z50" s="103">
        <f t="shared" si="33"/>
        <v>3.0985700464745225</v>
      </c>
      <c r="AA50" s="103">
        <f t="shared" si="33"/>
        <v>2.0860764675719143</v>
      </c>
      <c r="AB50" s="103">
        <f t="shared" si="33"/>
        <v>2.1370171282254828</v>
      </c>
      <c r="AC50" s="103">
        <f t="shared" si="33"/>
        <v>2.1835439481771659</v>
      </c>
      <c r="AD50" s="103">
        <f t="shared" si="33"/>
        <v>2.2261683678922961</v>
      </c>
      <c r="AE50" s="103">
        <f t="shared" si="33"/>
        <v>2.2653259306887041</v>
      </c>
      <c r="AF50" s="103">
        <f t="shared" si="33"/>
        <v>2.3013967172404493</v>
      </c>
      <c r="AG50" s="103">
        <f t="shared" si="33"/>
        <v>1.5707584395490501</v>
      </c>
      <c r="AH50" s="103">
        <f t="shared" si="33"/>
        <v>1.5603158460154634</v>
      </c>
      <c r="AI50" s="103">
        <f t="shared" si="33"/>
        <v>1.5510155349376169</v>
      </c>
    </row>
    <row r="51" spans="10:35" ht="12.75" x14ac:dyDescent="0.2">
      <c r="M51" s="84">
        <v>1.2</v>
      </c>
      <c r="N51" s="103">
        <f t="shared" ref="N51:U51" si="34">($C31-$C30)*$C$10/32.18/(($G31/$N$20)*N$21*$C$10-N31)</f>
        <v>0.89810080469721187</v>
      </c>
      <c r="O51" s="103">
        <f t="shared" si="34"/>
        <v>1.0692184333405406</v>
      </c>
      <c r="P51" s="103">
        <f t="shared" si="34"/>
        <v>2.1596554335887421</v>
      </c>
      <c r="Q51" s="103">
        <f t="shared" si="34"/>
        <v>2.86903545635503</v>
      </c>
      <c r="R51" s="103">
        <f t="shared" si="34"/>
        <v>2.8146676375172661</v>
      </c>
      <c r="S51" s="103">
        <f t="shared" si="34"/>
        <v>2.8672541351095493</v>
      </c>
      <c r="T51" s="103">
        <f t="shared" si="34"/>
        <v>2.9021604407283808</v>
      </c>
      <c r="U51" s="103">
        <f t="shared" si="34"/>
        <v>2.9261573730748123</v>
      </c>
      <c r="V51" s="103">
        <f t="shared" ref="V51" si="35">($C31-$C30)*$C$10/32.18/(($G31/$N$20)*V$21*$C$10-V31)</f>
        <v>2.94262044917236</v>
      </c>
      <c r="W51" s="103">
        <f t="shared" si="17"/>
        <v>2.9541645271187478</v>
      </c>
      <c r="X51" s="103">
        <f t="shared" ref="X51:AI51" si="36">($C31-$C30)*$C$10/32.18/(($G31/$N$20)*X$21*$C$10-X31)</f>
        <v>2.9622911920573096</v>
      </c>
      <c r="Y51" s="103">
        <f t="shared" si="36"/>
        <v>2.9679835745400265</v>
      </c>
      <c r="Z51" s="103">
        <f t="shared" si="36"/>
        <v>2.9708533845754701</v>
      </c>
      <c r="AA51" s="103">
        <f t="shared" si="36"/>
        <v>1.9926056806994195</v>
      </c>
      <c r="AB51" s="103">
        <f t="shared" si="36"/>
        <v>2.0401387062627592</v>
      </c>
      <c r="AC51" s="103">
        <f t="shared" si="36"/>
        <v>2.0834403546121294</v>
      </c>
      <c r="AD51" s="103">
        <f t="shared" si="36"/>
        <v>2.123005605989007</v>
      </c>
      <c r="AE51" s="103">
        <f t="shared" si="36"/>
        <v>2.1592554278909235</v>
      </c>
      <c r="AF51" s="103">
        <f t="shared" si="36"/>
        <v>2.1925566536064776</v>
      </c>
      <c r="AG51" s="103">
        <f t="shared" si="36"/>
        <v>1.4945960188991168</v>
      </c>
      <c r="AH51" s="103">
        <f t="shared" si="36"/>
        <v>1.4841551402547031</v>
      </c>
      <c r="AI51" s="103">
        <f t="shared" si="36"/>
        <v>1.4748389606813301</v>
      </c>
    </row>
    <row r="52" spans="10:35" ht="12.75" x14ac:dyDescent="0.2">
      <c r="M52" s="84">
        <v>1.25</v>
      </c>
      <c r="N52" s="103">
        <f t="shared" ref="N52:U52" si="37">($C32-$C31)*$C$10/32.18/(($G32/$N$20)*N$21*$C$10-N32)</f>
        <v>0.87697328887122106</v>
      </c>
      <c r="O52" s="103">
        <f t="shared" si="37"/>
        <v>1.0410928637241659</v>
      </c>
      <c r="P52" s="103">
        <f t="shared" si="37"/>
        <v>2.1315829881688626</v>
      </c>
      <c r="Q52" s="103">
        <f t="shared" si="37"/>
        <v>2.8416244795274195</v>
      </c>
      <c r="R52" s="103">
        <f t="shared" si="37"/>
        <v>2.7690248714386789</v>
      </c>
      <c r="S52" s="103">
        <f t="shared" si="37"/>
        <v>2.8095083656373259</v>
      </c>
      <c r="T52" s="103">
        <f t="shared" si="37"/>
        <v>2.8342961186072393</v>
      </c>
      <c r="U52" s="103">
        <f t="shared" si="37"/>
        <v>2.8497859357779962</v>
      </c>
      <c r="V52" s="103">
        <f t="shared" ref="V52" si="38">($C32-$C31)*$C$10/32.18/(($G32/$N$20)*V$21*$C$10-V32)</f>
        <v>2.8590296203424836</v>
      </c>
      <c r="W52" s="103">
        <f t="shared" si="17"/>
        <v>2.8643818282723301</v>
      </c>
      <c r="X52" s="103">
        <f t="shared" ref="X52:AI52" si="39">($C32-$C31)*$C$10/32.18/(($G32/$N$20)*X$21*$C$10-X32)</f>
        <v>2.8671409600558886</v>
      </c>
      <c r="Y52" s="103">
        <f t="shared" si="39"/>
        <v>2.8681328341286076</v>
      </c>
      <c r="Z52" s="103">
        <f t="shared" si="39"/>
        <v>2.8668704081885275</v>
      </c>
      <c r="AA52" s="103">
        <f t="shared" si="39"/>
        <v>1.9128865225856615</v>
      </c>
      <c r="AB52" s="103">
        <f t="shared" si="39"/>
        <v>1.9573554972335034</v>
      </c>
      <c r="AC52" s="103">
        <f t="shared" si="39"/>
        <v>1.9977563951370136</v>
      </c>
      <c r="AD52" s="103">
        <f t="shared" si="39"/>
        <v>2.0345708391308515</v>
      </c>
      <c r="AE52" s="103">
        <f t="shared" si="39"/>
        <v>2.0682077229800968</v>
      </c>
      <c r="AF52" s="103">
        <f t="shared" si="39"/>
        <v>2.099022724536824</v>
      </c>
      <c r="AG52" s="103">
        <f t="shared" si="39"/>
        <v>1.4279211230369235</v>
      </c>
      <c r="AH52" s="103">
        <f t="shared" si="39"/>
        <v>1.4174078768989458</v>
      </c>
      <c r="AI52" s="103">
        <f t="shared" si="39"/>
        <v>1.4080144689598324</v>
      </c>
    </row>
    <row r="53" spans="10:35" ht="12.75" x14ac:dyDescent="0.2">
      <c r="M53" s="84">
        <v>1.3</v>
      </c>
      <c r="N53" s="103">
        <f t="shared" ref="N53:U53" si="40">($C33-$C32)*$C$10/32.18/(($G33/$N$20)*N$21*$C$10-N33)</f>
        <v>0.86059102823907363</v>
      </c>
      <c r="O53" s="103">
        <f t="shared" si="40"/>
        <v>1.018383157769569</v>
      </c>
      <c r="P53" s="103">
        <f t="shared" si="40"/>
        <v>2.1179845379307785</v>
      </c>
      <c r="Q53" s="103">
        <f t="shared" si="40"/>
        <v>2.8353249081725878</v>
      </c>
      <c r="R53" s="103">
        <f t="shared" si="40"/>
        <v>2.7414252040423004</v>
      </c>
      <c r="S53" s="103">
        <f t="shared" si="40"/>
        <v>2.7689257044604623</v>
      </c>
      <c r="T53" s="103">
        <f t="shared" si="40"/>
        <v>2.7829729106025485</v>
      </c>
      <c r="U53" s="103">
        <f t="shared" si="40"/>
        <v>2.7895271006776712</v>
      </c>
      <c r="V53" s="103">
        <f t="shared" ref="V53" si="41">($C33-$C32)*$C$10/32.18/(($G33/$N$20)*V$21*$C$10-V33)</f>
        <v>2.7912602302841991</v>
      </c>
      <c r="W53" s="103">
        <f t="shared" si="17"/>
        <v>2.790230901414656</v>
      </c>
      <c r="X53" s="103">
        <f t="shared" ref="X53:AI53" si="42">($C33-$C32)*$C$10/32.18/(($G33/$N$20)*X$21*$C$10-X33)</f>
        <v>2.7875073318005272</v>
      </c>
      <c r="Y53" s="103">
        <f t="shared" si="42"/>
        <v>2.7837388643360121</v>
      </c>
      <c r="Z53" s="103">
        <f t="shared" si="42"/>
        <v>2.778319199991401</v>
      </c>
      <c r="AA53" s="103">
        <f t="shared" si="42"/>
        <v>1.842799561420962</v>
      </c>
      <c r="AB53" s="103">
        <f t="shared" si="42"/>
        <v>1.8845048584979835</v>
      </c>
      <c r="AC53" s="103">
        <f t="shared" si="42"/>
        <v>1.9222918209091973</v>
      </c>
      <c r="AD53" s="103">
        <f t="shared" si="42"/>
        <v>1.9566304843804609</v>
      </c>
      <c r="AE53" s="103">
        <f t="shared" si="42"/>
        <v>1.9879191231928832</v>
      </c>
      <c r="AF53" s="103">
        <f t="shared" si="42"/>
        <v>2.0165035037000383</v>
      </c>
      <c r="AG53" s="103">
        <f t="shared" si="42"/>
        <v>1.3684364811850891</v>
      </c>
      <c r="AH53" s="103">
        <f t="shared" si="42"/>
        <v>1.3578312901892382</v>
      </c>
      <c r="AI53" s="103">
        <f t="shared" si="42"/>
        <v>1.3483468367382665</v>
      </c>
    </row>
    <row r="54" spans="10:35" ht="12.75" x14ac:dyDescent="0.2">
      <c r="M54" s="84">
        <v>1.35</v>
      </c>
      <c r="N54" s="103">
        <f t="shared" ref="N54:U54" si="43">($C34-$C33)*$C$10/32.18/(($G34/$N$20)*N$21*$C$10-N34)</f>
        <v>0.88530382969380439</v>
      </c>
      <c r="O54" s="103">
        <f t="shared" si="43"/>
        <v>1.0414290154747714</v>
      </c>
      <c r="P54" s="103">
        <f t="shared" si="43"/>
        <v>2.2334881846849943</v>
      </c>
      <c r="Q54" s="103">
        <f t="shared" si="43"/>
        <v>3.0164910471357937</v>
      </c>
      <c r="R54" s="103">
        <f t="shared" si="43"/>
        <v>2.8724907440505025</v>
      </c>
      <c r="S54" s="103">
        <f t="shared" si="43"/>
        <v>2.8765795378233223</v>
      </c>
      <c r="T54" s="103">
        <f t="shared" si="43"/>
        <v>2.8712630091443847</v>
      </c>
      <c r="U54" s="103">
        <f t="shared" si="43"/>
        <v>2.8617890976659748</v>
      </c>
      <c r="V54" s="103">
        <f t="shared" ref="V54" si="44">($C34-$C33)*$C$10/32.18/(($G34/$N$20)*V$21*$C$10-V34)</f>
        <v>2.8501153383339601</v>
      </c>
      <c r="W54" s="103">
        <f t="shared" si="17"/>
        <v>2.8377739783712554</v>
      </c>
      <c r="X54" s="103">
        <f t="shared" ref="X54:AI54" si="45">($C34-$C33)*$C$10/32.18/(($G34/$N$20)*X$21*$C$10-X34)</f>
        <v>2.8254058215838431</v>
      </c>
      <c r="Y54" s="103">
        <f t="shared" si="45"/>
        <v>2.8133311658427398</v>
      </c>
      <c r="Z54" s="103">
        <f t="shared" si="45"/>
        <v>2.8006505763054523</v>
      </c>
      <c r="AA54" s="103">
        <f t="shared" si="45"/>
        <v>1.8357960619869356</v>
      </c>
      <c r="AB54" s="103">
        <f t="shared" si="45"/>
        <v>1.8756755954404327</v>
      </c>
      <c r="AC54" s="103">
        <f t="shared" si="45"/>
        <v>1.9116749416202521</v>
      </c>
      <c r="AD54" s="103">
        <f t="shared" si="45"/>
        <v>1.944270435001582</v>
      </c>
      <c r="AE54" s="103">
        <f t="shared" si="45"/>
        <v>1.9738642080552089</v>
      </c>
      <c r="AF54" s="103">
        <f t="shared" si="45"/>
        <v>2.0008041765557847</v>
      </c>
      <c r="AG54" s="103">
        <f t="shared" si="45"/>
        <v>1.3505798497177284</v>
      </c>
      <c r="AH54" s="103">
        <f t="shared" si="45"/>
        <v>1.3392982888834022</v>
      </c>
      <c r="AI54" s="103">
        <f t="shared" si="45"/>
        <v>1.3292068366090475</v>
      </c>
    </row>
    <row r="55" spans="10:35" ht="12.75" x14ac:dyDescent="0.2">
      <c r="M55" s="84">
        <v>1.4</v>
      </c>
      <c r="N55" s="103">
        <f t="shared" ref="N55:U55" si="46">($C35-$C34)*$C$10/32.18/(($G35/$N$20)*N$21*$C$10-N35)</f>
        <v>0.91420918027089815</v>
      </c>
      <c r="O55" s="103">
        <f t="shared" si="46"/>
        <v>1.0683474822137013</v>
      </c>
      <c r="P55" s="103">
        <f t="shared" si="46"/>
        <v>2.3734054629569283</v>
      </c>
      <c r="Q55" s="103">
        <f t="shared" si="46"/>
        <v>3.2396619342498507</v>
      </c>
      <c r="R55" s="103">
        <f t="shared" si="46"/>
        <v>3.0297393084746882</v>
      </c>
      <c r="S55" s="103">
        <f t="shared" si="46"/>
        <v>3.0042106061498894</v>
      </c>
      <c r="T55" s="103">
        <f t="shared" si="46"/>
        <v>2.9752243774930287</v>
      </c>
      <c r="U55" s="103">
        <f t="shared" si="46"/>
        <v>2.9466821513763586</v>
      </c>
      <c r="V55" s="103">
        <f t="shared" ref="V55" si="47">($C35-$C34)*$C$10/32.18/(($G35/$N$20)*V$21*$C$10-V35)</f>
        <v>2.9194062477816534</v>
      </c>
      <c r="W55" s="103">
        <f t="shared" si="17"/>
        <v>2.8941400327811886</v>
      </c>
      <c r="X55" s="103">
        <f t="shared" ref="X55:AI55" si="48">($C35-$C34)*$C$10/32.18/(($G35/$N$20)*X$21*$C$10-X35)</f>
        <v>2.8709224499615691</v>
      </c>
      <c r="Y55" s="103">
        <f t="shared" si="48"/>
        <v>2.8496285681813811</v>
      </c>
      <c r="Z55" s="103">
        <f t="shared" si="48"/>
        <v>2.8289812990776335</v>
      </c>
      <c r="AA55" s="103">
        <f t="shared" si="48"/>
        <v>1.8310841181569013</v>
      </c>
      <c r="AB55" s="103">
        <f t="shared" si="48"/>
        <v>1.8691477510229677</v>
      </c>
      <c r="AC55" s="103">
        <f t="shared" si="48"/>
        <v>1.9033725654488844</v>
      </c>
      <c r="AD55" s="103">
        <f t="shared" si="48"/>
        <v>1.9342413097708464</v>
      </c>
      <c r="AE55" s="103">
        <f t="shared" si="48"/>
        <v>1.9621599336347344</v>
      </c>
      <c r="AF55" s="103">
        <f t="shared" si="48"/>
        <v>1.9874783781679692</v>
      </c>
      <c r="AG55" s="103">
        <f t="shared" si="48"/>
        <v>1.3341122580551663</v>
      </c>
      <c r="AH55" s="103">
        <f t="shared" si="48"/>
        <v>1.3221491072173583</v>
      </c>
      <c r="AI55" s="103">
        <f t="shared" si="48"/>
        <v>1.3114485783347969</v>
      </c>
    </row>
    <row r="56" spans="10:35" ht="12.75" x14ac:dyDescent="0.2">
      <c r="M56" s="84">
        <v>1.45</v>
      </c>
      <c r="N56" s="103">
        <f t="shared" ref="N56:U56" si="49">($C36-$C35)*$C$10/32.18/(($G36/$N$20)*N$21*$C$10-N36)</f>
        <v>0.97128332553324859</v>
      </c>
      <c r="O56" s="103">
        <f t="shared" si="49"/>
        <v>1.1246861010979976</v>
      </c>
      <c r="P56" s="103">
        <f t="shared" si="49"/>
        <v>2.6293022703283833</v>
      </c>
      <c r="Q56" s="103">
        <f t="shared" si="49"/>
        <v>3.6482289333120286</v>
      </c>
      <c r="R56" s="103">
        <f t="shared" si="49"/>
        <v>3.3199585049344504</v>
      </c>
      <c r="S56" s="103">
        <f t="shared" si="49"/>
        <v>3.2450136407865475</v>
      </c>
      <c r="T56" s="103">
        <f t="shared" si="49"/>
        <v>3.1780674510378839</v>
      </c>
      <c r="U56" s="103">
        <f t="shared" si="49"/>
        <v>3.1198779414341424</v>
      </c>
      <c r="V56" s="103">
        <f t="shared" ref="V56" si="50">($C36-$C35)*$C$10/32.18/(($G36/$N$20)*V$21*$C$10-V36)</f>
        <v>3.0689348097018057</v>
      </c>
      <c r="W56" s="103">
        <f t="shared" si="17"/>
        <v>3.0244592968984265</v>
      </c>
      <c r="X56" s="103">
        <f t="shared" ref="X56:AI56" si="51">($C36-$C35)*$C$10/32.18/(($G36/$N$20)*X$21*$C$10-X36)</f>
        <v>2.9853919352457923</v>
      </c>
      <c r="Y56" s="103">
        <f t="shared" si="51"/>
        <v>2.9508268549305527</v>
      </c>
      <c r="Z56" s="103">
        <f t="shared" si="51"/>
        <v>2.918838505672217</v>
      </c>
      <c r="AA56" s="103">
        <f t="shared" si="51"/>
        <v>1.857613564567747</v>
      </c>
      <c r="AB56" s="103">
        <f t="shared" si="51"/>
        <v>1.8940850338287722</v>
      </c>
      <c r="AC56" s="103">
        <f t="shared" si="51"/>
        <v>1.9267156081847081</v>
      </c>
      <c r="AD56" s="103">
        <f t="shared" si="51"/>
        <v>1.9560033907905261</v>
      </c>
      <c r="AE56" s="103">
        <f t="shared" si="51"/>
        <v>1.9823650735431952</v>
      </c>
      <c r="AF56" s="103">
        <f t="shared" si="51"/>
        <v>2.0061581618899358</v>
      </c>
      <c r="AG56" s="103">
        <f t="shared" si="51"/>
        <v>1.336744420778005</v>
      </c>
      <c r="AH56" s="103">
        <f t="shared" si="51"/>
        <v>1.3237500067448178</v>
      </c>
      <c r="AI56" s="103">
        <f t="shared" si="51"/>
        <v>1.3121330575591166</v>
      </c>
    </row>
    <row r="57" spans="10:35" ht="12.75" x14ac:dyDescent="0.2">
      <c r="M57" s="84">
        <v>1.5</v>
      </c>
      <c r="N57" s="103">
        <f t="shared" ref="N57:U57" si="52">($C37-$C36)*$C$10/32.18/(($G37/$N$20)*N$21*$C$10-N37)</f>
        <v>1.0393805585940823</v>
      </c>
      <c r="O57" s="103">
        <f t="shared" si="52"/>
        <v>1.1906738949127191</v>
      </c>
      <c r="P57" s="103">
        <f t="shared" si="52"/>
        <v>2.963778907525934</v>
      </c>
      <c r="Q57" s="103">
        <f t="shared" si="52"/>
        <v>4.2028119783746822</v>
      </c>
      <c r="R57" s="103">
        <f t="shared" si="52"/>
        <v>3.6903299466521537</v>
      </c>
      <c r="S57" s="103">
        <f t="shared" si="52"/>
        <v>3.5429082959235814</v>
      </c>
      <c r="T57" s="103">
        <f t="shared" si="52"/>
        <v>3.423209556539045</v>
      </c>
      <c r="U57" s="103">
        <f t="shared" si="52"/>
        <v>3.3254811062387009</v>
      </c>
      <c r="V57" s="103">
        <f t="shared" ref="V57" si="53">($C37-$C36)*$C$10/32.18/(($G37/$N$20)*V$21*$C$10-V37)</f>
        <v>3.243986318857472</v>
      </c>
      <c r="W57" s="103">
        <f t="shared" si="17"/>
        <v>3.1753587937249885</v>
      </c>
      <c r="X57" s="103">
        <f t="shared" ref="X57:AI57" si="54">($C37-$C36)*$C$10/32.18/(($G37/$N$20)*X$21*$C$10-X37)</f>
        <v>3.1167930534323793</v>
      </c>
      <c r="Y57" s="103">
        <f t="shared" si="54"/>
        <v>3.0661986735235884</v>
      </c>
      <c r="Z57" s="103">
        <f t="shared" si="54"/>
        <v>3.0207273519194655</v>
      </c>
      <c r="AA57" s="103">
        <f t="shared" si="54"/>
        <v>1.8871884673203636</v>
      </c>
      <c r="AB57" s="103">
        <f t="shared" si="54"/>
        <v>1.9219271637071733</v>
      </c>
      <c r="AC57" s="103">
        <f t="shared" si="54"/>
        <v>1.9528328580668404</v>
      </c>
      <c r="AD57" s="103">
        <f t="shared" si="54"/>
        <v>1.9804192155519567</v>
      </c>
      <c r="AE57" s="103">
        <f t="shared" si="54"/>
        <v>2.0051135018269615</v>
      </c>
      <c r="AF57" s="103">
        <f t="shared" si="54"/>
        <v>2.0272804140017815</v>
      </c>
      <c r="AG57" s="103">
        <f t="shared" si="54"/>
        <v>1.340267746011903</v>
      </c>
      <c r="AH57" s="103">
        <f t="shared" si="54"/>
        <v>1.3261887812455655</v>
      </c>
      <c r="AI57" s="103">
        <f t="shared" si="54"/>
        <v>1.3136113781851075</v>
      </c>
    </row>
    <row r="58" spans="10:35" ht="12.75" x14ac:dyDescent="0.2">
      <c r="M58" s="84">
        <v>1.55</v>
      </c>
      <c r="N58" s="103">
        <f t="shared" ref="N58:U58" si="55">($C38-$C37)*$C$10/32.18/(($G38/$N$20)*N$21*$C$10-N38)</f>
        <v>1.1217043072822095</v>
      </c>
      <c r="O58" s="103">
        <f t="shared" si="55"/>
        <v>1.2686935411316036</v>
      </c>
      <c r="P58" s="103">
        <f t="shared" si="55"/>
        <v>3.4178263243240639</v>
      </c>
      <c r="Q58" s="103">
        <f t="shared" si="55"/>
        <v>4.9955687610946384</v>
      </c>
      <c r="R58" s="103">
        <f t="shared" si="55"/>
        <v>4.1774204675193136</v>
      </c>
      <c r="S58" s="103">
        <f t="shared" si="55"/>
        <v>3.919369547169663</v>
      </c>
      <c r="T58" s="103">
        <f t="shared" si="55"/>
        <v>3.7241240520313839</v>
      </c>
      <c r="U58" s="103">
        <f t="shared" si="55"/>
        <v>3.5724088089110659</v>
      </c>
      <c r="V58" s="103">
        <f t="shared" ref="V58" si="56">($C38-$C37)*$C$10/32.18/(($G38/$N$20)*V$21*$C$10-V38)</f>
        <v>3.4507172667519446</v>
      </c>
      <c r="W58" s="103">
        <f t="shared" si="17"/>
        <v>3.3512390160746106</v>
      </c>
      <c r="X58" s="103">
        <f t="shared" ref="X58:AI58" si="57">($C38-$C37)*$C$10/32.18/(($G38/$N$20)*X$21*$C$10-X38)</f>
        <v>3.2683616962418478</v>
      </c>
      <c r="Y58" s="103">
        <f t="shared" si="57"/>
        <v>3.198179780950821</v>
      </c>
      <c r="Z58" s="103">
        <f t="shared" si="57"/>
        <v>3.1365139472071673</v>
      </c>
      <c r="AA58" s="103">
        <f t="shared" si="57"/>
        <v>1.9200320021766044</v>
      </c>
      <c r="AB58" s="103">
        <f t="shared" si="57"/>
        <v>1.9528680889324206</v>
      </c>
      <c r="AC58" s="103">
        <f t="shared" si="57"/>
        <v>1.9818919255870653</v>
      </c>
      <c r="AD58" s="103">
        <f t="shared" si="57"/>
        <v>2.0076326733326901</v>
      </c>
      <c r="AE58" s="103">
        <f t="shared" si="57"/>
        <v>2.030527725561007</v>
      </c>
      <c r="AF58" s="103">
        <f t="shared" si="57"/>
        <v>2.0509483351019</v>
      </c>
      <c r="AG58" s="103">
        <f t="shared" si="57"/>
        <v>1.3446783331300445</v>
      </c>
      <c r="AH58" s="103">
        <f t="shared" si="57"/>
        <v>1.3294567921296256</v>
      </c>
      <c r="AI58" s="103">
        <f t="shared" si="57"/>
        <v>1.3158710132159259</v>
      </c>
    </row>
    <row r="59" spans="10:35" ht="12.75" x14ac:dyDescent="0.2">
      <c r="M59" s="84">
        <v>1.6</v>
      </c>
      <c r="N59" s="103">
        <f t="shared" ref="N59:U59" si="58">($C39-$C38)*$C$10/32.18/(($G39/$N$20)*N$21*$C$10-N39)</f>
        <v>1.2228706667464222</v>
      </c>
      <c r="O59" s="103">
        <f t="shared" si="58"/>
        <v>1.3620183336311167</v>
      </c>
      <c r="P59" s="103">
        <f t="shared" si="58"/>
        <v>4.0672127606972133</v>
      </c>
      <c r="Q59" s="103">
        <f t="shared" si="58"/>
        <v>6.2174038045468176</v>
      </c>
      <c r="R59" s="103">
        <f t="shared" si="58"/>
        <v>4.8443101841221878</v>
      </c>
      <c r="S59" s="103">
        <f t="shared" si="58"/>
        <v>4.4083945856541895</v>
      </c>
      <c r="T59" s="103">
        <f t="shared" si="58"/>
        <v>4.1008496659624578</v>
      </c>
      <c r="U59" s="103">
        <f t="shared" si="58"/>
        <v>3.8733145248066951</v>
      </c>
      <c r="V59" s="103">
        <f t="shared" ref="V59" si="59">($C39-$C38)*$C$10/32.18/(($G39/$N$20)*V$21*$C$10-V39)</f>
        <v>3.6975514996151593</v>
      </c>
      <c r="W59" s="103">
        <f t="shared" si="17"/>
        <v>3.557950728306984</v>
      </c>
      <c r="X59" s="103">
        <f t="shared" ref="X59:AI59" si="60">($C39-$C38)*$C$10/32.18/(($G39/$N$20)*X$21*$C$10-X39)</f>
        <v>3.4443027136878506</v>
      </c>
      <c r="Y59" s="103">
        <f t="shared" si="60"/>
        <v>3.3498775723299818</v>
      </c>
      <c r="Z59" s="103">
        <f t="shared" si="60"/>
        <v>3.268543947348296</v>
      </c>
      <c r="AA59" s="103">
        <f t="shared" si="60"/>
        <v>1.9564119704455833</v>
      </c>
      <c r="AB59" s="103">
        <f t="shared" si="60"/>
        <v>1.9871414917571844</v>
      </c>
      <c r="AC59" s="103">
        <f t="shared" si="60"/>
        <v>2.0140960506807537</v>
      </c>
      <c r="AD59" s="103">
        <f t="shared" si="60"/>
        <v>2.0378198496081064</v>
      </c>
      <c r="AE59" s="103">
        <f t="shared" si="60"/>
        <v>2.0587595841113706</v>
      </c>
      <c r="AF59" s="103">
        <f t="shared" si="60"/>
        <v>2.0772920760867821</v>
      </c>
      <c r="AG59" s="103">
        <f t="shared" si="60"/>
        <v>1.349978985516088</v>
      </c>
      <c r="AH59" s="103">
        <f t="shared" si="60"/>
        <v>1.3335516975850612</v>
      </c>
      <c r="AI59" s="103">
        <f t="shared" si="60"/>
        <v>1.3189054371310762</v>
      </c>
    </row>
    <row r="60" spans="10:35" ht="12.75" x14ac:dyDescent="0.2">
      <c r="J60" s="117" t="s">
        <v>809</v>
      </c>
      <c r="K60" s="117"/>
      <c r="L60" s="117"/>
      <c r="M60" s="83"/>
      <c r="N60" s="86">
        <f t="shared" ref="N60:V60" si="61">SUM(N44:N59)</f>
        <v>15.375895619853585</v>
      </c>
      <c r="O60" s="86">
        <f t="shared" si="61"/>
        <v>18.159296339677336</v>
      </c>
      <c r="P60" s="86">
        <f t="shared" si="61"/>
        <v>39.008454512625988</v>
      </c>
      <c r="Q60" s="86">
        <f t="shared" si="61"/>
        <v>53.321980772751076</v>
      </c>
      <c r="R60" s="86">
        <f t="shared" si="61"/>
        <v>50.027433706826784</v>
      </c>
      <c r="S60" s="86">
        <f t="shared" si="61"/>
        <v>50.025195730839513</v>
      </c>
      <c r="T60" s="86">
        <f t="shared" si="61"/>
        <v>50.023192072525639</v>
      </c>
      <c r="U60" s="86">
        <f t="shared" si="61"/>
        <v>50.025695686237725</v>
      </c>
      <c r="V60" s="86">
        <f t="shared" si="61"/>
        <v>50.023785283837398</v>
      </c>
      <c r="W60" s="86">
        <f>SUM(W44:W59)</f>
        <v>50.022138231443812</v>
      </c>
      <c r="X60" s="86">
        <f t="shared" ref="X60:AI60" si="62">SUM(X44:X59)</f>
        <v>50.020693004364787</v>
      </c>
      <c r="Y60" s="86">
        <f t="shared" si="62"/>
        <v>50.019377690212451</v>
      </c>
      <c r="Z60" s="86">
        <f t="shared" si="62"/>
        <v>50.000022628418378</v>
      </c>
      <c r="AA60" s="86">
        <f t="shared" si="62"/>
        <v>33.342554569025161</v>
      </c>
      <c r="AB60" s="86">
        <f t="shared" si="62"/>
        <v>34.147269860408784</v>
      </c>
      <c r="AC60" s="86">
        <f t="shared" si="62"/>
        <v>34.883209062166735</v>
      </c>
      <c r="AD60" s="86">
        <f t="shared" si="62"/>
        <v>35.558497921774602</v>
      </c>
      <c r="AE60" s="86">
        <f t="shared" si="62"/>
        <v>36.180026986816394</v>
      </c>
      <c r="AF60" s="86">
        <f t="shared" si="62"/>
        <v>36.75378925335913</v>
      </c>
      <c r="AG60" s="86">
        <f t="shared" si="62"/>
        <v>25.033049161146444</v>
      </c>
      <c r="AH60" s="86">
        <f t="shared" si="62"/>
        <v>24.867387442106772</v>
      </c>
      <c r="AI60" s="86">
        <f t="shared" si="62"/>
        <v>24.720493165148007</v>
      </c>
    </row>
  </sheetData>
  <mergeCells count="2">
    <mergeCell ref="W15:W17"/>
    <mergeCell ref="J60:L60"/>
  </mergeCells>
  <conditionalFormatting sqref="X64">
    <cfRule type="cellIs" dxfId="1" priority="3" operator="between">
      <formula>49.9</formula>
      <formula>50.1</formula>
    </cfRule>
  </conditionalFormatting>
  <conditionalFormatting sqref="N60:AI60">
    <cfRule type="cellIs" dxfId="0" priority="1" operator="between">
      <formula>49.9</formula>
      <formula>50.1</formula>
    </cfRule>
  </conditionalFormatting>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8"/>
  <sheetViews>
    <sheetView workbookViewId="0">
      <selection activeCell="C8" sqref="C8"/>
    </sheetView>
  </sheetViews>
  <sheetFormatPr defaultRowHeight="12" x14ac:dyDescent="0.15"/>
  <cols>
    <col min="1" max="1" width="25.625" customWidth="1"/>
    <col min="2" max="2" width="10.25" customWidth="1"/>
    <col min="4" max="4" width="11.125" customWidth="1"/>
  </cols>
  <sheetData>
    <row r="1" spans="1:9" ht="12.75" x14ac:dyDescent="0.2">
      <c r="A1" s="2" t="s">
        <v>533</v>
      </c>
      <c r="B1" s="4"/>
      <c r="C1" s="4"/>
      <c r="D1" s="4"/>
      <c r="E1" s="4"/>
      <c r="F1" s="4"/>
      <c r="G1" s="4"/>
      <c r="H1" s="4"/>
      <c r="I1" s="4"/>
    </row>
    <row r="2" spans="1:9" ht="12.75" x14ac:dyDescent="0.2">
      <c r="A2" s="4"/>
      <c r="B2" s="4"/>
      <c r="C2" s="4"/>
      <c r="D2" s="4"/>
      <c r="E2" s="4"/>
      <c r="F2" s="4"/>
      <c r="G2" s="4"/>
      <c r="H2" s="4"/>
      <c r="I2" s="4"/>
    </row>
    <row r="3" spans="1:9" ht="14.25" x14ac:dyDescent="0.25">
      <c r="A3" s="5" t="s">
        <v>815</v>
      </c>
      <c r="B3" s="4"/>
      <c r="C3" s="4"/>
      <c r="D3" s="4"/>
      <c r="E3" s="4"/>
      <c r="F3" s="4"/>
      <c r="G3" s="4"/>
      <c r="H3" s="4"/>
      <c r="I3" s="4"/>
    </row>
    <row r="4" spans="1:9" ht="12.75" x14ac:dyDescent="0.2">
      <c r="A4" s="5" t="s">
        <v>534</v>
      </c>
      <c r="B4" s="4"/>
      <c r="C4" s="4"/>
      <c r="D4" s="4"/>
      <c r="E4" s="4"/>
      <c r="F4" s="4"/>
      <c r="G4" s="4"/>
      <c r="H4" s="4"/>
      <c r="I4" s="4"/>
    </row>
    <row r="5" spans="1:9" ht="12.75" x14ac:dyDescent="0.2">
      <c r="A5" s="5" t="s">
        <v>535</v>
      </c>
      <c r="B5" s="4"/>
      <c r="C5" s="4"/>
      <c r="D5" s="4"/>
      <c r="E5" s="4"/>
      <c r="F5" s="4"/>
      <c r="G5" s="4"/>
      <c r="H5" s="4"/>
      <c r="I5" s="4"/>
    </row>
    <row r="6" spans="1:9" ht="12.75" x14ac:dyDescent="0.2">
      <c r="A6" s="5" t="s">
        <v>536</v>
      </c>
      <c r="B6" s="4"/>
      <c r="C6" s="4"/>
      <c r="D6" s="4"/>
      <c r="E6" s="4"/>
      <c r="F6" s="4"/>
      <c r="G6" s="4"/>
      <c r="H6" s="4"/>
      <c r="I6" s="4"/>
    </row>
    <row r="7" spans="1:9" ht="12.75" x14ac:dyDescent="0.2">
      <c r="A7" s="9" t="s">
        <v>537</v>
      </c>
      <c r="B7" s="9" t="s">
        <v>538</v>
      </c>
      <c r="C7" s="49">
        <v>0</v>
      </c>
      <c r="D7" s="9" t="s">
        <v>539</v>
      </c>
      <c r="E7" s="49">
        <v>0.91100000000000003</v>
      </c>
      <c r="F7" s="4"/>
      <c r="G7" s="4"/>
      <c r="H7" s="4"/>
      <c r="I7" s="4"/>
    </row>
    <row r="8" spans="1:9" ht="12.75" x14ac:dyDescent="0.2">
      <c r="A8" s="9" t="s">
        <v>540</v>
      </c>
      <c r="B8" s="9" t="s">
        <v>541</v>
      </c>
      <c r="C8" s="49">
        <v>0</v>
      </c>
      <c r="D8" s="12"/>
      <c r="E8" s="49">
        <v>0.94699999999999995</v>
      </c>
      <c r="F8" s="4"/>
      <c r="G8" s="4"/>
      <c r="H8" s="4"/>
      <c r="I8" s="4"/>
    </row>
    <row r="9" spans="1:9" ht="12.75" x14ac:dyDescent="0.2">
      <c r="A9" s="4"/>
      <c r="B9" s="4"/>
      <c r="C9" s="4"/>
      <c r="D9" s="4"/>
      <c r="E9" s="4"/>
      <c r="F9" s="4"/>
      <c r="G9" s="4"/>
      <c r="H9" s="4"/>
      <c r="I9" s="4"/>
    </row>
    <row r="10" spans="1:9" ht="12.75" x14ac:dyDescent="0.2">
      <c r="A10" s="5" t="s">
        <v>738</v>
      </c>
      <c r="B10" s="4"/>
      <c r="C10" s="4"/>
      <c r="D10" s="4"/>
      <c r="E10" s="4"/>
      <c r="F10" s="4"/>
      <c r="G10" s="4"/>
      <c r="H10" s="4"/>
      <c r="I10" s="4"/>
    </row>
    <row r="11" spans="1:9" ht="12.75" x14ac:dyDescent="0.2">
      <c r="A11" s="9" t="s">
        <v>542</v>
      </c>
      <c r="B11" s="9" t="s">
        <v>543</v>
      </c>
      <c r="C11" s="49">
        <v>0</v>
      </c>
      <c r="D11" s="4"/>
      <c r="E11" s="4"/>
      <c r="F11" s="4"/>
      <c r="G11" s="4"/>
      <c r="H11" s="4"/>
      <c r="I11" s="4"/>
    </row>
    <row r="12" spans="1:9" ht="12.75" x14ac:dyDescent="0.2">
      <c r="A12" s="9" t="s">
        <v>544</v>
      </c>
      <c r="B12" s="9" t="s">
        <v>545</v>
      </c>
      <c r="C12" s="49">
        <v>0</v>
      </c>
      <c r="D12" s="4"/>
      <c r="E12" s="4"/>
      <c r="F12" s="4"/>
      <c r="G12" s="4"/>
      <c r="H12" s="4"/>
      <c r="I12" s="4"/>
    </row>
    <row r="13" spans="1:9" ht="12.75" x14ac:dyDescent="0.2">
      <c r="A13" s="9" t="s">
        <v>546</v>
      </c>
      <c r="B13" s="9" t="s">
        <v>547</v>
      </c>
      <c r="C13" s="49">
        <v>0</v>
      </c>
      <c r="D13" s="4"/>
      <c r="E13" s="4"/>
      <c r="F13" s="4"/>
      <c r="G13" s="4"/>
      <c r="H13" s="4"/>
      <c r="I13" s="4"/>
    </row>
    <row r="14" spans="1:9" ht="12.75" x14ac:dyDescent="0.2">
      <c r="A14" s="9" t="s">
        <v>548</v>
      </c>
      <c r="B14" s="9" t="s">
        <v>549</v>
      </c>
      <c r="C14" s="49">
        <v>0</v>
      </c>
      <c r="D14" s="4"/>
      <c r="E14" s="4"/>
      <c r="F14" s="4"/>
      <c r="G14" s="4"/>
      <c r="H14" s="4"/>
      <c r="I14" s="4"/>
    </row>
    <row r="15" spans="1:9" ht="12.75" x14ac:dyDescent="0.2">
      <c r="A15" s="9" t="s">
        <v>550</v>
      </c>
      <c r="B15" s="9" t="s">
        <v>551</v>
      </c>
      <c r="C15" s="49">
        <v>0</v>
      </c>
      <c r="D15" s="4"/>
      <c r="E15" s="4"/>
      <c r="F15" s="4"/>
      <c r="G15" s="4"/>
      <c r="H15" s="4"/>
      <c r="I15" s="4"/>
    </row>
    <row r="16" spans="1:9" ht="12.75" x14ac:dyDescent="0.2">
      <c r="A16" s="9" t="s">
        <v>552</v>
      </c>
      <c r="B16" s="9" t="s">
        <v>553</v>
      </c>
      <c r="C16" s="49">
        <v>0</v>
      </c>
      <c r="D16" s="4"/>
      <c r="E16" s="4"/>
      <c r="F16" s="4"/>
      <c r="G16" s="4"/>
      <c r="H16" s="4"/>
      <c r="I16" s="4"/>
    </row>
    <row r="17" spans="1:9" ht="12.75" x14ac:dyDescent="0.2">
      <c r="A17" s="4"/>
      <c r="B17" s="4"/>
      <c r="C17" s="4"/>
      <c r="D17" s="4"/>
      <c r="E17" s="4"/>
      <c r="F17" s="4"/>
      <c r="G17" s="4"/>
      <c r="H17" s="4"/>
      <c r="I17" s="4"/>
    </row>
    <row r="18" spans="1:9" ht="12.75" x14ac:dyDescent="0.2">
      <c r="A18" s="5" t="s">
        <v>554</v>
      </c>
      <c r="B18" s="4"/>
      <c r="C18" s="4"/>
      <c r="D18" s="4"/>
      <c r="E18" s="4"/>
      <c r="F18" s="4"/>
      <c r="G18" s="4"/>
      <c r="H18" s="4"/>
      <c r="I18" s="4"/>
    </row>
    <row r="19" spans="1:9" ht="12.75" x14ac:dyDescent="0.2">
      <c r="A19" s="9" t="s">
        <v>555</v>
      </c>
      <c r="B19" s="9" t="s">
        <v>556</v>
      </c>
      <c r="C19" s="21">
        <f>MAX(Mission!I11*SQRT(Atmosphere!H20),Mission!I21*SQRT(Atmosphere!H23),Mission!I37*SQRT(Atmosphere!H26))/1.69</f>
        <v>540.2228015860984</v>
      </c>
      <c r="D19" s="4"/>
      <c r="E19" s="4"/>
      <c r="F19" s="4"/>
      <c r="G19" s="4"/>
      <c r="H19" s="4"/>
      <c r="I19" s="4"/>
    </row>
    <row r="20" spans="1:9" ht="12.75" x14ac:dyDescent="0.2">
      <c r="A20" s="9" t="s">
        <v>557</v>
      </c>
      <c r="B20" s="9" t="s">
        <v>558</v>
      </c>
      <c r="C20" s="21">
        <f>1.25*C19</f>
        <v>675.27850198262297</v>
      </c>
      <c r="D20" s="4"/>
      <c r="E20" s="4"/>
      <c r="F20" s="4"/>
      <c r="G20" s="4"/>
      <c r="H20" s="4"/>
      <c r="I20" s="4"/>
    </row>
    <row r="21" spans="1:9" ht="12.75" x14ac:dyDescent="0.2">
      <c r="A21" s="4"/>
      <c r="B21" s="4"/>
      <c r="C21" s="4"/>
      <c r="D21" s="4"/>
      <c r="E21" s="4"/>
      <c r="F21" s="4"/>
      <c r="G21" s="4"/>
      <c r="H21" s="4"/>
      <c r="I21" s="4"/>
    </row>
    <row r="22" spans="1:9" ht="12.75" x14ac:dyDescent="0.2">
      <c r="A22" s="4"/>
      <c r="B22" s="4"/>
      <c r="C22" s="4"/>
      <c r="D22" s="4"/>
      <c r="E22" s="4"/>
      <c r="F22" s="4"/>
      <c r="G22" s="4"/>
      <c r="H22" s="4"/>
      <c r="I22" s="4"/>
    </row>
    <row r="23" spans="1:9" ht="12.75" x14ac:dyDescent="0.2">
      <c r="A23" s="5" t="s">
        <v>559</v>
      </c>
      <c r="B23" s="4"/>
      <c r="C23" s="4"/>
      <c r="D23" s="4"/>
      <c r="E23" s="4"/>
      <c r="F23" s="4"/>
      <c r="G23" s="4"/>
      <c r="H23" s="4"/>
      <c r="I23" s="4"/>
    </row>
    <row r="24" spans="1:9" ht="12.75" x14ac:dyDescent="0.2">
      <c r="A24" s="9" t="s">
        <v>560</v>
      </c>
      <c r="B24" s="9" t="s">
        <v>561</v>
      </c>
      <c r="C24" s="51" t="s">
        <v>89</v>
      </c>
      <c r="D24" s="4"/>
      <c r="E24" s="4"/>
      <c r="F24" s="4"/>
      <c r="G24" s="4"/>
      <c r="H24" s="4"/>
      <c r="I24" s="4"/>
    </row>
    <row r="25" spans="1:9" ht="12.75" x14ac:dyDescent="0.2">
      <c r="A25" s="9" t="s">
        <v>562</v>
      </c>
      <c r="B25" s="9" t="s">
        <v>563</v>
      </c>
      <c r="C25" s="51" t="s">
        <v>101</v>
      </c>
      <c r="D25" s="4"/>
      <c r="E25" s="4"/>
      <c r="F25" s="4"/>
      <c r="G25" s="4"/>
      <c r="H25" s="4"/>
      <c r="I25" s="4"/>
    </row>
    <row r="26" spans="1:9" ht="12.75" x14ac:dyDescent="0.2">
      <c r="A26" s="9" t="s">
        <v>564</v>
      </c>
      <c r="B26" s="9" t="s">
        <v>565</v>
      </c>
      <c r="C26" s="51" t="s">
        <v>101</v>
      </c>
      <c r="D26" s="4"/>
      <c r="E26" s="4"/>
      <c r="F26" s="4"/>
      <c r="G26" s="4"/>
      <c r="H26" s="4"/>
      <c r="I26" s="4"/>
    </row>
    <row r="27" spans="1:9" ht="12.75" x14ac:dyDescent="0.2">
      <c r="A27" s="9" t="s">
        <v>566</v>
      </c>
      <c r="B27" s="9" t="s">
        <v>567</v>
      </c>
      <c r="C27" s="49">
        <v>10</v>
      </c>
      <c r="D27" s="4"/>
      <c r="E27" s="4"/>
      <c r="F27" s="4"/>
      <c r="G27" s="4"/>
      <c r="H27" s="4"/>
      <c r="I27" s="4"/>
    </row>
    <row r="28" spans="1:9" ht="12.75" x14ac:dyDescent="0.2">
      <c r="A28" s="9" t="s">
        <v>568</v>
      </c>
      <c r="B28" s="9" t="s">
        <v>569</v>
      </c>
      <c r="C28" s="49">
        <v>5</v>
      </c>
      <c r="D28" s="4"/>
      <c r="E28" s="4"/>
      <c r="F28" s="4"/>
      <c r="G28" s="4"/>
      <c r="H28" s="4"/>
      <c r="I28" s="4"/>
    </row>
    <row r="29" spans="1:9" ht="12.75" x14ac:dyDescent="0.2">
      <c r="A29" s="9" t="s">
        <v>570</v>
      </c>
      <c r="B29" s="9" t="s">
        <v>571</v>
      </c>
      <c r="C29" s="51" t="s">
        <v>101</v>
      </c>
      <c r="D29" s="4"/>
      <c r="E29" s="4"/>
      <c r="F29" s="4"/>
      <c r="G29" s="4"/>
      <c r="H29" s="4"/>
      <c r="I29" s="4"/>
    </row>
    <row r="30" spans="1:9" ht="12.75" x14ac:dyDescent="0.2">
      <c r="A30" s="9" t="s">
        <v>572</v>
      </c>
      <c r="B30" s="9" t="s">
        <v>573</v>
      </c>
      <c r="C30" s="49">
        <v>2</v>
      </c>
      <c r="D30" s="4"/>
      <c r="E30" s="4"/>
      <c r="F30" s="4"/>
      <c r="G30" s="4"/>
      <c r="H30" s="4"/>
      <c r="I30" s="4"/>
    </row>
    <row r="31" spans="1:9" ht="12.75" x14ac:dyDescent="0.2">
      <c r="A31" s="9" t="s">
        <v>574</v>
      </c>
      <c r="B31" s="9" t="s">
        <v>575</v>
      </c>
      <c r="C31" s="51" t="s">
        <v>101</v>
      </c>
      <c r="D31" s="4"/>
      <c r="E31" s="4"/>
      <c r="F31" s="4"/>
      <c r="G31" s="4"/>
      <c r="H31" s="4"/>
      <c r="I31" s="4"/>
    </row>
    <row r="32" spans="1:9" ht="12.75" x14ac:dyDescent="0.2">
      <c r="A32" s="9" t="s">
        <v>576</v>
      </c>
      <c r="B32" s="9" t="s">
        <v>577</v>
      </c>
      <c r="C32" s="49">
        <v>6.55</v>
      </c>
      <c r="D32" s="4"/>
      <c r="E32" s="4"/>
      <c r="F32" s="4"/>
      <c r="G32" s="4"/>
      <c r="H32" s="4"/>
      <c r="I32" s="4"/>
    </row>
    <row r="33" spans="1:9" ht="12.75" x14ac:dyDescent="0.2">
      <c r="A33" s="4"/>
      <c r="B33" s="4"/>
      <c r="C33" s="4"/>
      <c r="D33" s="4"/>
      <c r="E33" s="4"/>
      <c r="F33" s="4"/>
      <c r="G33" s="4"/>
      <c r="H33" s="4"/>
      <c r="I33" s="4"/>
    </row>
    <row r="34" spans="1:9" ht="12.75" x14ac:dyDescent="0.2">
      <c r="A34" s="4"/>
      <c r="B34" s="4"/>
      <c r="C34" s="4"/>
      <c r="D34" s="4"/>
      <c r="E34" s="4"/>
      <c r="F34" s="4"/>
      <c r="G34" s="4"/>
      <c r="H34" s="4"/>
      <c r="I34" s="4"/>
    </row>
    <row r="35" spans="1:9" ht="12.75" x14ac:dyDescent="0.2">
      <c r="A35" s="4"/>
      <c r="B35" s="4"/>
      <c r="C35" s="43"/>
      <c r="D35" s="4"/>
      <c r="E35" s="4"/>
      <c r="F35" s="4"/>
      <c r="G35" s="4"/>
      <c r="H35" s="4"/>
      <c r="I35" s="4"/>
    </row>
    <row r="36" spans="1:9" ht="12.75" x14ac:dyDescent="0.2">
      <c r="A36" s="4"/>
      <c r="B36" s="4"/>
      <c r="C36" s="43"/>
      <c r="D36" s="4"/>
      <c r="E36" s="4"/>
      <c r="F36" s="4"/>
      <c r="G36" s="4"/>
      <c r="H36" s="4"/>
      <c r="I36" s="4"/>
    </row>
    <row r="37" spans="1:9" ht="12.75" x14ac:dyDescent="0.2">
      <c r="A37" s="2"/>
      <c r="B37" s="3"/>
      <c r="C37" s="43"/>
      <c r="D37" s="4"/>
      <c r="E37" s="4"/>
      <c r="F37" s="4"/>
      <c r="G37" s="4"/>
      <c r="H37" s="4"/>
      <c r="I37" s="4"/>
    </row>
    <row r="38" spans="1:9" ht="12.75" x14ac:dyDescent="0.2">
      <c r="A38" s="9" t="s">
        <v>373</v>
      </c>
      <c r="B38" s="12"/>
      <c r="C38" s="59">
        <f>Baseline!C3</f>
        <v>47550.272049316402</v>
      </c>
      <c r="D38" s="23"/>
      <c r="E38" s="23"/>
      <c r="F38" s="23"/>
      <c r="G38" s="23"/>
      <c r="H38" s="23"/>
      <c r="I38" s="23"/>
    </row>
    <row r="39" spans="1:9" ht="12.75" x14ac:dyDescent="0.2">
      <c r="A39" s="9" t="s">
        <v>579</v>
      </c>
      <c r="B39" s="12"/>
      <c r="C39" s="59">
        <f>C38-Mission!C78</f>
        <v>21210.605638634624</v>
      </c>
      <c r="D39" s="53"/>
      <c r="E39" s="53"/>
      <c r="F39" s="53"/>
      <c r="G39" s="53"/>
      <c r="H39" s="53"/>
      <c r="I39" s="53"/>
    </row>
    <row r="40" spans="1:9" ht="12.75" x14ac:dyDescent="0.2">
      <c r="A40" s="9" t="s">
        <v>126</v>
      </c>
      <c r="B40" s="12"/>
      <c r="C40" s="60">
        <f>SQRT(Baseline!$C$20*C38/Baseline!$C$8)</f>
        <v>39.812172363619482</v>
      </c>
      <c r="D40" s="23"/>
      <c r="E40" s="23"/>
      <c r="F40" s="23"/>
      <c r="G40" s="23"/>
      <c r="H40" s="23"/>
      <c r="I40" s="23"/>
    </row>
    <row r="41" spans="1:9" ht="12.75" x14ac:dyDescent="0.2">
      <c r="A41" s="9" t="s">
        <v>135</v>
      </c>
      <c r="B41" s="12"/>
      <c r="C41" s="60">
        <f>2*C40/(Baseline!$C$20*(1+Baseline!$C$21))</f>
        <v>28.437265974013918</v>
      </c>
      <c r="D41" s="23"/>
      <c r="E41" s="23"/>
      <c r="F41" s="23"/>
      <c r="G41" s="23"/>
      <c r="H41" s="23"/>
      <c r="I41" s="23"/>
    </row>
    <row r="42" spans="1:9" ht="12.75" x14ac:dyDescent="0.2">
      <c r="A42" s="9" t="s">
        <v>580</v>
      </c>
      <c r="B42" s="12"/>
      <c r="C42" s="60">
        <f>C41*Baseline!$C$22</f>
        <v>0.99530430909048728</v>
      </c>
      <c r="D42" s="23"/>
      <c r="E42" s="23"/>
      <c r="F42" s="23"/>
      <c r="G42" s="23"/>
      <c r="H42" s="23"/>
      <c r="I42" s="23"/>
    </row>
    <row r="43" spans="1:9" ht="12.75" x14ac:dyDescent="0.2">
      <c r="A43" s="9" t="s">
        <v>581</v>
      </c>
      <c r="B43" s="12"/>
      <c r="C43" s="59">
        <f>C38/Baseline!$C$8</f>
        <v>792.5045341552734</v>
      </c>
      <c r="D43" s="23"/>
      <c r="E43" s="23"/>
      <c r="F43" s="23"/>
      <c r="G43" s="23"/>
      <c r="H43" s="23"/>
      <c r="I43" s="23"/>
    </row>
    <row r="44" spans="1:9" ht="12.75" x14ac:dyDescent="0.2">
      <c r="A44" s="9" t="s">
        <v>582</v>
      </c>
      <c r="B44" s="12"/>
      <c r="C44" s="60">
        <f>2/3*C41*(1+Baseline!$C$21+Baseline!$C$21^2)/(1+Baseline!$C$21)</f>
        <v>21.124826152124623</v>
      </c>
      <c r="D44" s="23"/>
      <c r="E44" s="23"/>
      <c r="F44" s="23"/>
      <c r="G44" s="23"/>
      <c r="H44" s="23"/>
      <c r="I44" s="23"/>
    </row>
    <row r="45" spans="1:9" ht="12.75" x14ac:dyDescent="0.2">
      <c r="A45" s="9" t="s">
        <v>583</v>
      </c>
      <c r="B45" s="12"/>
      <c r="C45" s="60">
        <f>Baseline!$I$20*C43*C44/Baseline!$I$27</f>
        <v>446.94279251661487</v>
      </c>
      <c r="D45" s="23"/>
      <c r="E45" s="23"/>
      <c r="F45" s="23"/>
      <c r="G45" s="23"/>
      <c r="H45" s="23"/>
      <c r="I45" s="23"/>
    </row>
    <row r="46" spans="1:9" ht="12.75" x14ac:dyDescent="0.2">
      <c r="A46" s="9" t="s">
        <v>584</v>
      </c>
      <c r="B46" s="12"/>
      <c r="C46" s="60">
        <f>Baseline!$O$20*C43*C40/Baseline!$O$26</f>
        <v>113.3058708468553</v>
      </c>
      <c r="D46" s="23"/>
      <c r="E46" s="23"/>
      <c r="F46" s="23"/>
      <c r="G46" s="23"/>
      <c r="H46" s="23"/>
      <c r="I46" s="23"/>
    </row>
    <row r="47" spans="1:9" ht="12.75" x14ac:dyDescent="0.2">
      <c r="A47" s="9" t="s">
        <v>585</v>
      </c>
      <c r="B47" s="12"/>
      <c r="C47" s="60">
        <f>SQRT(Baseline!$I$22*C45)</f>
        <v>42.282043116037563</v>
      </c>
      <c r="D47" s="23"/>
      <c r="E47" s="23"/>
      <c r="F47" s="23"/>
      <c r="G47" s="23"/>
      <c r="H47" s="23"/>
      <c r="I47" s="23"/>
    </row>
    <row r="48" spans="1:9" ht="12.75" x14ac:dyDescent="0.2">
      <c r="A48" s="9" t="s">
        <v>586</v>
      </c>
      <c r="B48" s="12"/>
      <c r="C48" s="61">
        <f>2*C47/(Baseline!$I$22*(1+Baseline!R24))*Baseline!$I$23</f>
        <v>2.1141021558018784</v>
      </c>
      <c r="D48" s="23"/>
      <c r="E48" s="23"/>
      <c r="F48" s="23"/>
      <c r="G48" s="23"/>
      <c r="H48" s="23"/>
      <c r="I48" s="23"/>
    </row>
    <row r="49" spans="1:9" ht="12.75" x14ac:dyDescent="0.2">
      <c r="A49" s="9" t="s">
        <v>587</v>
      </c>
      <c r="B49" s="12" t="s">
        <v>736</v>
      </c>
      <c r="C49" s="60">
        <f>C40/COS(LAMBDA2/57.3)</f>
        <v>65.396923827668246</v>
      </c>
      <c r="D49" s="23"/>
      <c r="E49" s="23"/>
      <c r="F49" s="23"/>
      <c r="G49" s="23"/>
      <c r="H49" s="23"/>
      <c r="I49" s="23"/>
    </row>
    <row r="50" spans="1:9" ht="12.75" x14ac:dyDescent="0.2">
      <c r="A50" s="4"/>
      <c r="B50" s="4"/>
      <c r="C50" s="4"/>
      <c r="D50" s="4"/>
      <c r="E50" s="4"/>
      <c r="F50" s="4"/>
      <c r="G50" s="4"/>
      <c r="H50" s="4"/>
      <c r="I50" s="4"/>
    </row>
    <row r="51" spans="1:9" ht="12.75" x14ac:dyDescent="0.2">
      <c r="A51" s="2" t="s">
        <v>735</v>
      </c>
      <c r="B51" s="3"/>
      <c r="C51" s="3"/>
      <c r="D51" s="3"/>
      <c r="E51" s="4"/>
      <c r="F51" s="4"/>
      <c r="G51" s="4"/>
      <c r="H51" s="4"/>
      <c r="I51" s="4"/>
    </row>
    <row r="52" spans="1:9" ht="12.75" x14ac:dyDescent="0.2">
      <c r="A52" s="5" t="s">
        <v>588</v>
      </c>
      <c r="B52" s="4"/>
      <c r="C52" s="4"/>
      <c r="D52" s="4"/>
      <c r="E52" s="4"/>
      <c r="F52" s="4"/>
      <c r="G52" s="4"/>
      <c r="H52" s="4"/>
      <c r="I52" s="4"/>
    </row>
    <row r="53" spans="1:9" ht="12.75" x14ac:dyDescent="0.2">
      <c r="A53" s="5" t="s">
        <v>589</v>
      </c>
      <c r="B53" s="4"/>
      <c r="C53" s="4"/>
      <c r="D53" s="4"/>
      <c r="E53" s="4"/>
      <c r="F53" s="4"/>
      <c r="G53" s="4"/>
      <c r="H53" s="4"/>
      <c r="I53" s="4"/>
    </row>
    <row r="54" spans="1:9" ht="12.75" x14ac:dyDescent="0.2">
      <c r="A54" s="2" t="s">
        <v>578</v>
      </c>
      <c r="B54" s="4"/>
      <c r="C54" s="4"/>
      <c r="D54" s="4"/>
      <c r="E54" s="4"/>
      <c r="F54" s="4"/>
      <c r="G54" s="4"/>
      <c r="H54" s="4"/>
      <c r="I54" s="4"/>
    </row>
    <row r="55" spans="1:9" ht="12.75" x14ac:dyDescent="0.2">
      <c r="A55" s="9" t="s">
        <v>590</v>
      </c>
      <c r="B55" s="12"/>
      <c r="C55" s="12"/>
      <c r="D55" s="4"/>
      <c r="E55" s="4"/>
      <c r="F55" s="4"/>
      <c r="G55" s="4"/>
      <c r="H55" s="4"/>
      <c r="I55" s="4"/>
    </row>
    <row r="56" spans="1:9" ht="12.75" x14ac:dyDescent="0.2">
      <c r="A56" s="9" t="s">
        <v>591</v>
      </c>
      <c r="B56" s="12"/>
      <c r="C56" s="21">
        <f>0.0017*C39*SPANEFF^0.75*(1+SQRT(C40/SPANEFF))*Baseline!$C$10^0.55*(SPANEFF/C42/(C39/C43))^0.3</f>
        <v>4420.0880676550278</v>
      </c>
      <c r="D56" s="53"/>
      <c r="E56" s="53"/>
      <c r="F56" s="53"/>
      <c r="G56" s="53"/>
      <c r="H56" s="53"/>
      <c r="I56" s="53"/>
    </row>
    <row r="57" spans="1:9" ht="12.75" x14ac:dyDescent="0.2">
      <c r="A57" s="9" t="s">
        <v>592</v>
      </c>
      <c r="B57" s="12"/>
      <c r="C57" s="21">
        <f>Baseline!$I$41*C45*(3.81*(C45^0.2*$C$20)/(1000*COS(Baseline!$I$26/57.3)^0.5)-0.287)</f>
        <v>4018.7710635750759</v>
      </c>
      <c r="D57" s="53"/>
      <c r="E57" s="53"/>
      <c r="F57" s="53"/>
      <c r="G57" s="53"/>
      <c r="H57" s="53"/>
      <c r="I57" s="53"/>
    </row>
    <row r="58" spans="1:9" ht="12.75" x14ac:dyDescent="0.2">
      <c r="A58" s="9" t="s">
        <v>593</v>
      </c>
      <c r="B58" s="12"/>
      <c r="C58" s="21">
        <f>Baseline!$O$43*C46*(3.81*C46^0.2*$C$20/(1000*(COS(Baseline!$O$25/57.3))^0.5)-0.287)</f>
        <v>1334.4238023127371</v>
      </c>
      <c r="D58" s="53"/>
      <c r="E58" s="53"/>
      <c r="F58" s="53"/>
      <c r="G58" s="53"/>
      <c r="H58" s="53"/>
      <c r="I58" s="53"/>
    </row>
    <row r="59" spans="1:9" ht="12.75" x14ac:dyDescent="0.2">
      <c r="A59" s="9" t="s">
        <v>594</v>
      </c>
      <c r="B59" s="12"/>
      <c r="C59" s="21">
        <f>0.021*Baseline!$U$46*Baseline!$U$47*Baseline!$U$48*($C$20*Baseline!$I$27/(Baseline!$U$22+Baseline!$U$21))^0.5*(Baseline!$U$37+Baseline!$U$38+Baseline!$U$40)^1.2</f>
        <v>4097.8209130195073</v>
      </c>
      <c r="D59" s="53"/>
      <c r="E59" s="53"/>
      <c r="F59" s="53"/>
      <c r="G59" s="53"/>
      <c r="H59" s="53"/>
      <c r="I59" s="53"/>
    </row>
    <row r="60" spans="1:9" ht="12.75" x14ac:dyDescent="0.2">
      <c r="A60" s="9" t="s">
        <v>595</v>
      </c>
      <c r="B60" s="12"/>
      <c r="C60" s="21">
        <f>IF($C$24="Y",0.055*C$38*Baseline!$C$7,0.065*C$38*Baseline!$C$7)*(1-$C$15/100)</f>
        <v>2876.7914589836423</v>
      </c>
      <c r="D60" s="53"/>
      <c r="E60" s="53"/>
      <c r="F60" s="53"/>
      <c r="G60" s="53"/>
      <c r="H60" s="53"/>
      <c r="I60" s="53"/>
    </row>
    <row r="61" spans="1:9" ht="12.75" x14ac:dyDescent="0.2">
      <c r="A61" s="9" t="s">
        <v>596</v>
      </c>
      <c r="B61" s="12"/>
      <c r="C61" s="21">
        <f>62.21*(C$38/1000)^0.84*(1-$C$16/100)</f>
        <v>1594.6622976401939</v>
      </c>
      <c r="D61" s="53"/>
      <c r="E61" s="53"/>
      <c r="F61" s="53"/>
      <c r="G61" s="53"/>
      <c r="H61" s="53"/>
      <c r="I61" s="53"/>
    </row>
    <row r="62" spans="1:9" ht="12.75" x14ac:dyDescent="0.2">
      <c r="A62" s="9" t="s">
        <v>597</v>
      </c>
      <c r="B62" s="12"/>
      <c r="C62" s="21"/>
      <c r="D62" s="53"/>
      <c r="E62" s="53"/>
      <c r="F62" s="53"/>
      <c r="G62" s="53"/>
      <c r="H62" s="53"/>
      <c r="I62" s="53"/>
    </row>
    <row r="63" spans="1:9" ht="12.75" x14ac:dyDescent="0.2">
      <c r="A63" s="9" t="s">
        <v>598</v>
      </c>
      <c r="B63" s="12"/>
      <c r="C63" s="21">
        <f>C$38*Baseline!$C$7/IF($C$25="Y",7,4.7)</f>
        <v>11128.787075371923</v>
      </c>
      <c r="D63" s="53"/>
      <c r="E63" s="53"/>
      <c r="F63" s="53"/>
      <c r="G63" s="53"/>
      <c r="H63" s="53"/>
      <c r="I63" s="53"/>
    </row>
    <row r="64" spans="1:9" ht="12.75" x14ac:dyDescent="0.2">
      <c r="A64" s="9" t="s">
        <v>599</v>
      </c>
      <c r="B64" s="12"/>
      <c r="C64" s="21">
        <f>11.45*($C$27*$C$30*(C$38*Baseline!$C$7/$C$28/$C$30)^0.5*IF($C$29="Y",1,1.3))^0.7331</f>
        <v>2878.4280035476027</v>
      </c>
      <c r="D64" s="53"/>
      <c r="E64" s="53"/>
      <c r="F64" s="53"/>
      <c r="G64" s="53"/>
      <c r="H64" s="53"/>
      <c r="I64" s="53"/>
    </row>
    <row r="65" spans="1:9" ht="12.75" x14ac:dyDescent="0.2">
      <c r="A65" s="9" t="s">
        <v>600</v>
      </c>
      <c r="B65" s="12"/>
      <c r="C65" s="21"/>
      <c r="D65" s="53"/>
      <c r="E65" s="53"/>
      <c r="F65" s="53"/>
      <c r="G65" s="53"/>
      <c r="H65" s="53"/>
      <c r="I65" s="53"/>
    </row>
    <row r="66" spans="1:9" ht="12.75" x14ac:dyDescent="0.2">
      <c r="A66" s="9" t="s">
        <v>601</v>
      </c>
      <c r="B66" s="12"/>
      <c r="C66" s="21">
        <f>3.2*(Mission!L49/$C$32)^0.727</f>
        <v>0</v>
      </c>
      <c r="D66" s="53"/>
      <c r="E66" s="53"/>
      <c r="F66" s="53"/>
      <c r="G66" s="53"/>
      <c r="H66" s="53"/>
      <c r="I66" s="53"/>
    </row>
    <row r="67" spans="1:9" ht="12.75" x14ac:dyDescent="0.2">
      <c r="A67" s="9" t="s">
        <v>602</v>
      </c>
      <c r="B67" s="12"/>
      <c r="C67" s="21">
        <f>C$38*Baseline!$C$7*Propulsion!$C$16/100</f>
        <v>523.05299254248041</v>
      </c>
      <c r="D67" s="53"/>
      <c r="E67" s="53"/>
      <c r="F67" s="53"/>
      <c r="G67" s="53"/>
      <c r="H67" s="53"/>
      <c r="I67" s="53"/>
    </row>
    <row r="68" spans="1:9" ht="12.75" x14ac:dyDescent="0.2">
      <c r="A68" s="9" t="s">
        <v>603</v>
      </c>
      <c r="B68" s="12"/>
      <c r="C68" s="21">
        <f>0.15*C$38</f>
        <v>7132.5408073974604</v>
      </c>
      <c r="D68" s="53"/>
      <c r="E68" s="53"/>
      <c r="F68" s="53"/>
      <c r="G68" s="53"/>
      <c r="H68" s="53"/>
      <c r="I68" s="53"/>
    </row>
    <row r="69" spans="1:9" ht="12.75" x14ac:dyDescent="0.2">
      <c r="A69" s="9" t="s">
        <v>604</v>
      </c>
      <c r="B69" s="12"/>
      <c r="C69" s="21"/>
      <c r="D69" s="53"/>
      <c r="E69" s="53"/>
      <c r="F69" s="53"/>
      <c r="G69" s="53"/>
      <c r="H69" s="53"/>
      <c r="I69" s="53"/>
    </row>
    <row r="70" spans="1:9" ht="12.75" x14ac:dyDescent="0.2">
      <c r="A70" s="9" t="s">
        <v>605</v>
      </c>
      <c r="B70" s="12"/>
      <c r="C70" s="21"/>
      <c r="D70" s="53"/>
      <c r="E70" s="53"/>
      <c r="F70" s="53"/>
      <c r="G70" s="53"/>
      <c r="H70" s="53"/>
      <c r="I70" s="53"/>
    </row>
    <row r="71" spans="1:9" ht="12.75" x14ac:dyDescent="0.2">
      <c r="A71" s="9" t="s">
        <v>606</v>
      </c>
      <c r="B71" s="12"/>
      <c r="C71" s="21"/>
      <c r="D71" s="53"/>
      <c r="E71" s="53"/>
      <c r="F71" s="53"/>
      <c r="G71" s="53"/>
      <c r="H71" s="53"/>
      <c r="I71" s="53"/>
    </row>
    <row r="72" spans="1:9" ht="12.75" x14ac:dyDescent="0.2">
      <c r="A72" s="9" t="s">
        <v>607</v>
      </c>
      <c r="B72" s="12"/>
      <c r="C72" s="21"/>
      <c r="D72" s="53"/>
      <c r="E72" s="53"/>
      <c r="F72" s="53"/>
      <c r="G72" s="53"/>
      <c r="H72" s="53"/>
      <c r="I72" s="53"/>
    </row>
    <row r="73" spans="1:9" ht="12.75" x14ac:dyDescent="0.2">
      <c r="A73" s="9" t="s">
        <v>608</v>
      </c>
      <c r="B73" s="12"/>
      <c r="C73" s="21"/>
      <c r="D73" s="53"/>
      <c r="E73" s="53"/>
      <c r="F73" s="53"/>
      <c r="G73" s="53"/>
      <c r="H73" s="53"/>
      <c r="I73" s="53"/>
    </row>
    <row r="74" spans="1:9" ht="12.75" x14ac:dyDescent="0.2">
      <c r="A74" s="9" t="s">
        <v>609</v>
      </c>
      <c r="B74" s="12"/>
      <c r="C74" s="21"/>
      <c r="D74" s="53"/>
      <c r="E74" s="53"/>
      <c r="F74" s="53"/>
      <c r="G74" s="53"/>
      <c r="H74" s="53"/>
      <c r="I74" s="53"/>
    </row>
    <row r="75" spans="1:9" ht="12.75" x14ac:dyDescent="0.2">
      <c r="A75" s="9" t="s">
        <v>610</v>
      </c>
      <c r="B75" s="12"/>
      <c r="C75" s="21"/>
      <c r="D75" s="53"/>
      <c r="E75" s="53"/>
      <c r="F75" s="53"/>
      <c r="G75" s="53"/>
      <c r="H75" s="53"/>
      <c r="I75" s="53"/>
    </row>
    <row r="76" spans="1:9" ht="12.75" x14ac:dyDescent="0.2">
      <c r="A76" s="9" t="s">
        <v>611</v>
      </c>
      <c r="B76" s="12"/>
      <c r="C76" s="21"/>
      <c r="D76" s="53"/>
      <c r="E76" s="53"/>
      <c r="F76" s="53"/>
      <c r="G76" s="53"/>
      <c r="H76" s="53"/>
      <c r="I76" s="53"/>
    </row>
    <row r="77" spans="1:9" ht="12.75" x14ac:dyDescent="0.2">
      <c r="A77" s="9" t="s">
        <v>612</v>
      </c>
      <c r="B77" s="12"/>
      <c r="C77" s="21"/>
      <c r="D77" s="53"/>
      <c r="E77" s="53"/>
      <c r="F77" s="53"/>
      <c r="G77" s="53"/>
      <c r="H77" s="53"/>
      <c r="I77" s="53"/>
    </row>
    <row r="78" spans="1:9" ht="12.75" x14ac:dyDescent="0.2">
      <c r="A78" s="9" t="s">
        <v>613</v>
      </c>
      <c r="B78" s="12"/>
      <c r="C78" s="21"/>
      <c r="D78" s="53"/>
      <c r="E78" s="53"/>
      <c r="F78" s="53"/>
      <c r="G78" s="53"/>
      <c r="H78" s="53"/>
      <c r="I78" s="53"/>
    </row>
    <row r="79" spans="1:9" ht="12.75" x14ac:dyDescent="0.2">
      <c r="A79" s="9" t="s">
        <v>614</v>
      </c>
      <c r="B79" s="12"/>
      <c r="C79" s="12"/>
      <c r="D79" s="32"/>
      <c r="E79" s="32"/>
      <c r="F79" s="32"/>
      <c r="G79" s="32"/>
      <c r="H79" s="32"/>
      <c r="I79" s="32"/>
    </row>
    <row r="80" spans="1:9" ht="12.75" x14ac:dyDescent="0.2">
      <c r="A80" s="9" t="s">
        <v>615</v>
      </c>
      <c r="B80" s="12"/>
      <c r="C80" s="12"/>
      <c r="D80" s="32"/>
      <c r="E80" s="32"/>
      <c r="F80" s="32"/>
      <c r="G80" s="32"/>
      <c r="H80" s="32"/>
      <c r="I80" s="32"/>
    </row>
    <row r="81" spans="1:9" ht="12.75" x14ac:dyDescent="0.2">
      <c r="A81" s="9" t="s">
        <v>616</v>
      </c>
      <c r="B81" s="12"/>
      <c r="C81" s="12"/>
      <c r="D81" s="32"/>
      <c r="E81" s="32"/>
      <c r="F81" s="32"/>
      <c r="G81" s="32"/>
      <c r="H81" s="32"/>
      <c r="I81" s="32"/>
    </row>
    <row r="82" spans="1:9" ht="12.75" x14ac:dyDescent="0.2">
      <c r="A82" s="9" t="s">
        <v>617</v>
      </c>
      <c r="B82" s="12"/>
      <c r="C82" s="12"/>
      <c r="D82" s="32"/>
      <c r="E82" s="32"/>
      <c r="F82" s="32"/>
      <c r="G82" s="32"/>
      <c r="H82" s="32"/>
      <c r="I82" s="32"/>
    </row>
    <row r="83" spans="1:9" ht="12.75" x14ac:dyDescent="0.2">
      <c r="A83" s="9" t="s">
        <v>618</v>
      </c>
      <c r="B83" s="12"/>
      <c r="C83" s="12"/>
      <c r="D83" s="32"/>
      <c r="E83" s="32"/>
      <c r="F83" s="32"/>
      <c r="G83" s="32"/>
      <c r="H83" s="32"/>
      <c r="I83" s="32"/>
    </row>
    <row r="84" spans="1:9" ht="12.75" x14ac:dyDescent="0.2">
      <c r="A84" s="9" t="s">
        <v>619</v>
      </c>
      <c r="B84" s="12"/>
      <c r="C84" s="12"/>
      <c r="D84" s="32"/>
      <c r="E84" s="32"/>
      <c r="F84" s="32"/>
      <c r="G84" s="32"/>
      <c r="H84" s="32"/>
      <c r="I84" s="32"/>
    </row>
    <row r="85" spans="1:9" ht="12.75" x14ac:dyDescent="0.2">
      <c r="A85" s="9" t="s">
        <v>620</v>
      </c>
      <c r="B85" s="12"/>
      <c r="C85" s="12"/>
      <c r="D85" s="32"/>
      <c r="E85" s="32"/>
      <c r="F85" s="32"/>
      <c r="G85" s="32"/>
      <c r="H85" s="32"/>
      <c r="I85" s="32"/>
    </row>
    <row r="86" spans="1:9" ht="12.75" x14ac:dyDescent="0.2">
      <c r="A86" s="9" t="s">
        <v>621</v>
      </c>
      <c r="B86" s="12"/>
      <c r="C86" s="21">
        <f>SUM(C56:C84)</f>
        <v>40005.366482045647</v>
      </c>
      <c r="D86" s="53"/>
      <c r="E86" s="53"/>
      <c r="F86" s="53"/>
      <c r="G86" s="53"/>
      <c r="H86" s="53"/>
      <c r="I86" s="53"/>
    </row>
    <row r="87" spans="1:9" ht="12.75" x14ac:dyDescent="0.2">
      <c r="A87" s="9" t="s">
        <v>622</v>
      </c>
      <c r="B87" s="12" t="s">
        <v>734</v>
      </c>
      <c r="C87" s="14">
        <f>C86+0.01*Mission!C78+Baseline!$C$4</f>
        <v>40518.763146152465</v>
      </c>
      <c r="D87" s="23"/>
      <c r="E87" s="23"/>
      <c r="F87" s="23"/>
      <c r="G87" s="23"/>
      <c r="H87" s="23"/>
      <c r="I87" s="23"/>
    </row>
    <row r="88" spans="1:9" ht="12.75" x14ac:dyDescent="0.2">
      <c r="A88" s="22"/>
      <c r="B88" s="32"/>
      <c r="C88" s="23"/>
      <c r="D88" s="23"/>
      <c r="E88" s="23"/>
      <c r="F88" s="23"/>
      <c r="G88" s="23"/>
      <c r="H88" s="23"/>
      <c r="I88" s="23"/>
    </row>
    <row r="89" spans="1:9" ht="12.75" x14ac:dyDescent="0.2">
      <c r="A89" s="5" t="s">
        <v>623</v>
      </c>
      <c r="B89" s="4"/>
      <c r="C89" s="4"/>
      <c r="D89" s="4"/>
      <c r="E89" s="4"/>
      <c r="F89" s="4"/>
      <c r="G89" s="4"/>
      <c r="H89" s="4"/>
      <c r="I89" s="4"/>
    </row>
    <row r="90" spans="1:9" ht="12.75" x14ac:dyDescent="0.2">
      <c r="A90" s="5" t="s">
        <v>624</v>
      </c>
      <c r="B90" s="4"/>
      <c r="C90" s="4"/>
      <c r="D90" s="4"/>
      <c r="E90" s="4"/>
      <c r="F90" s="4"/>
      <c r="G90" s="4"/>
      <c r="H90" s="4"/>
      <c r="I90" s="4"/>
    </row>
    <row r="91" spans="1:9" ht="12.75" x14ac:dyDescent="0.2">
      <c r="A91" s="9" t="s">
        <v>590</v>
      </c>
      <c r="B91" s="12"/>
      <c r="C91" s="12"/>
      <c r="D91" s="32"/>
      <c r="E91" s="32"/>
      <c r="F91" s="32"/>
      <c r="G91" s="32"/>
      <c r="H91" s="32"/>
      <c r="I91" s="32"/>
    </row>
    <row r="92" spans="1:9" ht="12.75" x14ac:dyDescent="0.2">
      <c r="A92" s="9" t="s">
        <v>591</v>
      </c>
      <c r="B92" s="12"/>
      <c r="C92" s="21">
        <f>3.08*(Baseline!$C$47*Baseline!$C$10*C38/Baseline!$C$22*((TAN(Baseline!$C$23/57.3)-2*(1-Baseline!$C$21)/Baseline!$C$20/(1+Baseline!$C$21))^2+1)/1000000)^0.593*((1+Baseline!$C$21)*Baseline!$C$20)^0.89*Baseline!$C$35^0.741*(1-$C$11/100)</f>
        <v>5709.3704318463833</v>
      </c>
      <c r="D92" s="53"/>
      <c r="E92" s="53"/>
      <c r="F92" s="53"/>
      <c r="G92" s="53"/>
      <c r="H92" s="53"/>
      <c r="I92" s="53"/>
    </row>
    <row r="93" spans="1:9" ht="12.75" x14ac:dyDescent="0.2">
      <c r="A93" s="9" t="s">
        <v>592</v>
      </c>
      <c r="B93" s="12"/>
      <c r="C93" s="21">
        <f>0.0034*((C38*Baseline!$C$10)^0.813*C45^0.584*(C47/C48)^0.033*(C44/Baseline!$I$27)^0.28)^0.915*(1-$C$12/100)</f>
        <v>818.76249302971132</v>
      </c>
      <c r="D93" s="53"/>
      <c r="E93" s="53"/>
      <c r="F93" s="53"/>
      <c r="G93" s="53"/>
      <c r="H93" s="53"/>
      <c r="I93" s="53"/>
    </row>
    <row r="94" spans="1:9" ht="12.75" x14ac:dyDescent="0.2">
      <c r="A94" s="9" t="s">
        <v>593</v>
      </c>
      <c r="B94" s="12"/>
      <c r="C94" s="21">
        <f>0.19*((1+Baseline!$O$27)^0.5*(C38*Baseline!$C$10)^0.363*C46^1.089*Baseline!$C$11^0.601*Baseline!$O$26^-0.726*(1+C43/C46)^0.217*Baseline!$O$22^0.337*(1+Baseline!$O$24)^0.363*(COS(Baseline!$O$25/57.3))^-0.484)^1.014*(1-$C$13/100)</f>
        <v>911.250604326146</v>
      </c>
      <c r="D94" s="53"/>
      <c r="E94" s="53"/>
      <c r="F94" s="53"/>
      <c r="G94" s="53"/>
      <c r="H94" s="53"/>
      <c r="I94" s="53"/>
    </row>
    <row r="95" spans="1:9" ht="12.75" x14ac:dyDescent="0.2">
      <c r="A95" s="9" t="s">
        <v>594</v>
      </c>
      <c r="B95" s="12"/>
      <c r="C95" s="21">
        <f>10.43*Baseline!$U$45^1.42*(Baseline!$I$11*1.25/100)^0.283*(C38/1000)^0.95*(Baseline!$U$20/Baseline!$U$21)^0.71*(1-$C$14/100)</f>
        <v>4512.3393412085643</v>
      </c>
      <c r="D95" s="53"/>
      <c r="E95" s="53"/>
      <c r="F95" s="53"/>
      <c r="G95" s="53"/>
      <c r="H95" s="53"/>
      <c r="I95" s="53"/>
    </row>
    <row r="96" spans="1:9" ht="12.75" x14ac:dyDescent="0.2">
      <c r="A96" s="9" t="s">
        <v>595</v>
      </c>
      <c r="B96" s="12"/>
      <c r="C96" s="21">
        <f>IF($C$24="Y",0.055*C$38*Baseline!$C$7,0.065*C$38*Baseline!$C$7)*(1-$C$15/100)</f>
        <v>2876.7914589836423</v>
      </c>
      <c r="D96" s="53"/>
      <c r="E96" s="53"/>
      <c r="F96" s="53"/>
      <c r="G96" s="53"/>
      <c r="H96" s="53"/>
      <c r="I96" s="53"/>
    </row>
    <row r="97" spans="1:9" ht="12.75" x14ac:dyDescent="0.2">
      <c r="A97" s="9" t="s">
        <v>596</v>
      </c>
      <c r="B97" s="12"/>
      <c r="C97" s="21">
        <f>62.21*(C38/1000)^0.84*(1-$C$16/100)</f>
        <v>1594.6622976401939</v>
      </c>
      <c r="D97" s="53"/>
      <c r="E97" s="53"/>
      <c r="F97" s="53"/>
      <c r="G97" s="53"/>
      <c r="H97" s="53"/>
      <c r="I97" s="53"/>
    </row>
    <row r="98" spans="1:9" ht="12.75" x14ac:dyDescent="0.2">
      <c r="A98" s="9" t="s">
        <v>597</v>
      </c>
      <c r="B98" s="12"/>
      <c r="C98" s="21"/>
      <c r="D98" s="53"/>
      <c r="E98" s="53"/>
      <c r="F98" s="53"/>
      <c r="G98" s="53"/>
      <c r="H98" s="53"/>
      <c r="I98" s="53"/>
    </row>
    <row r="99" spans="1:9" ht="12.75" x14ac:dyDescent="0.2">
      <c r="A99" s="9" t="s">
        <v>598</v>
      </c>
      <c r="B99" s="12"/>
      <c r="C99" s="21">
        <f>C38*Baseline!$C$7/IF($C$25="Y",7,4.7)</f>
        <v>11128.787075371923</v>
      </c>
      <c r="D99" s="53"/>
      <c r="E99" s="53"/>
      <c r="F99" s="53"/>
      <c r="G99" s="53"/>
      <c r="H99" s="53"/>
      <c r="I99" s="53"/>
    </row>
    <row r="100" spans="1:9" ht="12.75" x14ac:dyDescent="0.2">
      <c r="A100" s="9" t="s">
        <v>599</v>
      </c>
      <c r="B100" s="12"/>
      <c r="C100" s="21">
        <f>11.45*($C$27*$C$30*(C38*Baseline!$C$7/$C$28/$C$30)^0.5*IF($C$29="Y",1,1.3))^0.7331</f>
        <v>2878.4280035476027</v>
      </c>
      <c r="D100" s="53"/>
      <c r="E100" s="53"/>
      <c r="F100" s="53"/>
      <c r="G100" s="53"/>
      <c r="H100" s="53"/>
      <c r="I100" s="53"/>
    </row>
    <row r="101" spans="1:9" ht="12.75" x14ac:dyDescent="0.2">
      <c r="A101" s="9" t="s">
        <v>600</v>
      </c>
      <c r="B101" s="12"/>
      <c r="C101" s="21"/>
      <c r="D101" s="53"/>
      <c r="E101" s="53"/>
      <c r="F101" s="53"/>
      <c r="G101" s="53"/>
      <c r="H101" s="53"/>
      <c r="I101" s="53"/>
    </row>
    <row r="102" spans="1:9" ht="12.75" x14ac:dyDescent="0.2">
      <c r="A102" s="9" t="s">
        <v>601</v>
      </c>
      <c r="B102" s="12"/>
      <c r="C102" s="21">
        <f>3.2*(Mission!C78/$C$32)^0.727</f>
        <v>1335.1381937935766</v>
      </c>
      <c r="D102" s="53"/>
      <c r="E102" s="53"/>
      <c r="F102" s="53"/>
      <c r="G102" s="53"/>
      <c r="H102" s="53"/>
      <c r="I102" s="53"/>
    </row>
    <row r="103" spans="1:9" ht="12.75" x14ac:dyDescent="0.2">
      <c r="A103" s="9" t="s">
        <v>602</v>
      </c>
      <c r="B103" s="12"/>
      <c r="C103" s="21">
        <f>C38*Baseline!$C$7*Propulsion!$C$16/100</f>
        <v>523.05299254248041</v>
      </c>
      <c r="D103" s="53"/>
      <c r="E103" s="53"/>
      <c r="F103" s="53"/>
      <c r="G103" s="53"/>
      <c r="H103" s="53"/>
      <c r="I103" s="53"/>
    </row>
    <row r="104" spans="1:9" ht="12.75" x14ac:dyDescent="0.2">
      <c r="A104" s="9" t="s">
        <v>603</v>
      </c>
      <c r="B104" s="12"/>
      <c r="C104" s="21">
        <f>0.15*C38</f>
        <v>7132.5408073974604</v>
      </c>
      <c r="D104" s="53"/>
      <c r="E104" s="53"/>
      <c r="F104" s="53"/>
      <c r="G104" s="53"/>
      <c r="H104" s="53"/>
      <c r="I104" s="53"/>
    </row>
    <row r="105" spans="1:9" ht="12.75" x14ac:dyDescent="0.2">
      <c r="A105" s="9" t="s">
        <v>604</v>
      </c>
      <c r="B105" s="12"/>
      <c r="C105" s="21"/>
      <c r="D105" s="53"/>
      <c r="E105" s="53"/>
      <c r="F105" s="53"/>
      <c r="G105" s="53"/>
      <c r="H105" s="53"/>
      <c r="I105" s="53"/>
    </row>
    <row r="106" spans="1:9" ht="12.75" x14ac:dyDescent="0.2">
      <c r="A106" s="9" t="s">
        <v>605</v>
      </c>
      <c r="B106" s="12"/>
      <c r="C106" s="21"/>
      <c r="D106" s="53"/>
      <c r="E106" s="53"/>
      <c r="F106" s="53"/>
      <c r="G106" s="53"/>
      <c r="H106" s="53"/>
      <c r="I106" s="53"/>
    </row>
    <row r="107" spans="1:9" ht="12.75" x14ac:dyDescent="0.2">
      <c r="A107" s="9" t="s">
        <v>606</v>
      </c>
      <c r="B107" s="12"/>
      <c r="C107" s="21"/>
      <c r="D107" s="53"/>
      <c r="E107" s="53"/>
      <c r="F107" s="53"/>
      <c r="G107" s="53"/>
      <c r="H107" s="53"/>
      <c r="I107" s="53"/>
    </row>
    <row r="108" spans="1:9" ht="12.75" x14ac:dyDescent="0.2">
      <c r="A108" s="9" t="s">
        <v>607</v>
      </c>
      <c r="B108" s="12"/>
      <c r="C108" s="21"/>
      <c r="D108" s="53"/>
      <c r="E108" s="53"/>
      <c r="F108" s="53"/>
      <c r="G108" s="53"/>
      <c r="H108" s="53"/>
      <c r="I108" s="53"/>
    </row>
    <row r="109" spans="1:9" ht="12.75" x14ac:dyDescent="0.2">
      <c r="A109" s="9" t="s">
        <v>608</v>
      </c>
      <c r="B109" s="12"/>
      <c r="C109" s="21"/>
      <c r="D109" s="53"/>
      <c r="E109" s="53"/>
      <c r="F109" s="53"/>
      <c r="G109" s="53"/>
      <c r="H109" s="53"/>
      <c r="I109" s="53"/>
    </row>
    <row r="110" spans="1:9" ht="12.75" x14ac:dyDescent="0.2">
      <c r="A110" s="9" t="s">
        <v>609</v>
      </c>
      <c r="B110" s="12"/>
      <c r="C110" s="21"/>
      <c r="D110" s="53"/>
      <c r="E110" s="53"/>
      <c r="F110" s="53"/>
      <c r="G110" s="53"/>
      <c r="H110" s="53"/>
      <c r="I110" s="53"/>
    </row>
    <row r="111" spans="1:9" ht="12.75" x14ac:dyDescent="0.2">
      <c r="A111" s="9" t="s">
        <v>610</v>
      </c>
      <c r="B111" s="12"/>
      <c r="C111" s="21"/>
      <c r="D111" s="53"/>
      <c r="E111" s="53"/>
      <c r="F111" s="53"/>
      <c r="G111" s="53"/>
      <c r="H111" s="53"/>
      <c r="I111" s="53"/>
    </row>
    <row r="112" spans="1:9" ht="12.75" x14ac:dyDescent="0.2">
      <c r="A112" s="9" t="s">
        <v>611</v>
      </c>
      <c r="B112" s="12"/>
      <c r="C112" s="21"/>
      <c r="D112" s="53"/>
      <c r="E112" s="53"/>
      <c r="F112" s="53"/>
      <c r="G112" s="53"/>
      <c r="H112" s="53"/>
      <c r="I112" s="53"/>
    </row>
    <row r="113" spans="1:9" ht="12.75" x14ac:dyDescent="0.2">
      <c r="A113" s="9" t="s">
        <v>612</v>
      </c>
      <c r="B113" s="12"/>
      <c r="C113" s="21"/>
      <c r="D113" s="53"/>
      <c r="E113" s="53"/>
      <c r="F113" s="53"/>
      <c r="G113" s="53"/>
      <c r="H113" s="53"/>
      <c r="I113" s="53"/>
    </row>
    <row r="114" spans="1:9" ht="12.75" x14ac:dyDescent="0.2">
      <c r="A114" s="9" t="s">
        <v>613</v>
      </c>
      <c r="B114" s="12"/>
      <c r="C114" s="21"/>
      <c r="D114" s="53"/>
      <c r="E114" s="53"/>
      <c r="F114" s="53"/>
      <c r="G114" s="53"/>
      <c r="H114" s="53"/>
      <c r="I114" s="53"/>
    </row>
    <row r="115" spans="1:9" ht="12.75" x14ac:dyDescent="0.2">
      <c r="A115" s="9" t="s">
        <v>614</v>
      </c>
      <c r="B115" s="12"/>
      <c r="C115" s="12"/>
      <c r="D115" s="32"/>
      <c r="E115" s="32"/>
      <c r="F115" s="32"/>
      <c r="G115" s="32"/>
      <c r="H115" s="32"/>
      <c r="I115" s="32"/>
    </row>
    <row r="116" spans="1:9" ht="12.75" x14ac:dyDescent="0.2">
      <c r="A116" s="9" t="s">
        <v>615</v>
      </c>
      <c r="B116" s="12"/>
      <c r="C116" s="12"/>
      <c r="D116" s="32"/>
      <c r="E116" s="32"/>
      <c r="F116" s="32"/>
      <c r="G116" s="32"/>
      <c r="H116" s="32"/>
      <c r="I116" s="32"/>
    </row>
    <row r="117" spans="1:9" ht="12.75" x14ac:dyDescent="0.2">
      <c r="A117" s="9" t="s">
        <v>616</v>
      </c>
      <c r="B117" s="12"/>
      <c r="C117" s="12"/>
      <c r="D117" s="32"/>
      <c r="E117" s="32"/>
      <c r="F117" s="32"/>
      <c r="G117" s="32"/>
      <c r="H117" s="32"/>
      <c r="I117" s="32"/>
    </row>
    <row r="118" spans="1:9" ht="12.75" x14ac:dyDescent="0.2">
      <c r="A118" s="9" t="s">
        <v>617</v>
      </c>
      <c r="B118" s="12"/>
      <c r="C118" s="12"/>
      <c r="D118" s="32"/>
      <c r="E118" s="32"/>
      <c r="F118" s="32"/>
      <c r="G118" s="32"/>
      <c r="H118" s="32"/>
      <c r="I118" s="32"/>
    </row>
    <row r="119" spans="1:9" ht="12.75" x14ac:dyDescent="0.2">
      <c r="A119" s="9" t="s">
        <v>618</v>
      </c>
      <c r="B119" s="12"/>
      <c r="C119" s="12"/>
      <c r="D119" s="32"/>
      <c r="E119" s="32"/>
      <c r="F119" s="32"/>
      <c r="G119" s="32"/>
      <c r="H119" s="32"/>
      <c r="I119" s="32"/>
    </row>
    <row r="120" spans="1:9" ht="12.75" x14ac:dyDescent="0.2">
      <c r="A120" s="9" t="s">
        <v>619</v>
      </c>
      <c r="B120" s="12"/>
      <c r="C120" s="12"/>
      <c r="D120" s="32"/>
      <c r="E120" s="32"/>
      <c r="F120" s="32"/>
      <c r="G120" s="32"/>
      <c r="H120" s="32"/>
      <c r="I120" s="32"/>
    </row>
    <row r="121" spans="1:9" ht="12.75" x14ac:dyDescent="0.2">
      <c r="A121" s="9" t="s">
        <v>620</v>
      </c>
      <c r="B121" s="12"/>
      <c r="C121" s="12"/>
      <c r="D121" s="32"/>
      <c r="E121" s="32"/>
      <c r="F121" s="32"/>
      <c r="G121" s="32"/>
      <c r="H121" s="32"/>
      <c r="I121" s="32"/>
    </row>
    <row r="122" spans="1:9" ht="12.75" x14ac:dyDescent="0.2">
      <c r="A122" s="9" t="s">
        <v>625</v>
      </c>
      <c r="B122" s="12"/>
      <c r="C122" s="21">
        <f>SUM(C92:C120)</f>
        <v>39421.123699687691</v>
      </c>
      <c r="D122" s="53"/>
      <c r="E122" s="53"/>
      <c r="F122" s="53"/>
      <c r="G122" s="53"/>
      <c r="H122" s="53"/>
      <c r="I122" s="53"/>
    </row>
    <row r="123" spans="1:9" ht="12.75" x14ac:dyDescent="0.2">
      <c r="A123" s="9" t="s">
        <v>626</v>
      </c>
      <c r="B123" s="12" t="s">
        <v>733</v>
      </c>
      <c r="C123" s="21">
        <f>C122+0.01*Mission!C78+Baseline!$C$4</f>
        <v>39934.520363794509</v>
      </c>
      <c r="D123" s="53"/>
      <c r="E123" s="53"/>
      <c r="F123" s="53"/>
      <c r="G123" s="53"/>
      <c r="H123" s="53"/>
      <c r="I123" s="53"/>
    </row>
    <row r="124" spans="1:9" ht="13.5" thickBot="1" x14ac:dyDescent="0.25">
      <c r="A124" s="4"/>
      <c r="B124" s="4"/>
      <c r="C124" s="43"/>
      <c r="D124" s="32"/>
      <c r="E124" s="32"/>
      <c r="F124" s="32"/>
      <c r="G124" s="32"/>
      <c r="H124" s="32"/>
      <c r="I124" s="32"/>
    </row>
    <row r="125" spans="1:9" ht="13.5" thickBot="1" x14ac:dyDescent="0.25">
      <c r="A125" s="55" t="s">
        <v>706</v>
      </c>
      <c r="B125" s="56" t="s">
        <v>377</v>
      </c>
      <c r="C125" s="57">
        <f>TOR.OEW-Mission!C79</f>
        <v>21208.157507517841</v>
      </c>
      <c r="D125" s="4"/>
      <c r="E125" s="4"/>
      <c r="F125" s="4"/>
      <c r="G125" s="4"/>
      <c r="H125" s="4"/>
      <c r="I125" s="4"/>
    </row>
    <row r="126" spans="1:9" ht="12.75" x14ac:dyDescent="0.2">
      <c r="A126" s="4"/>
      <c r="B126" s="4"/>
      <c r="C126" s="4"/>
      <c r="D126" s="4"/>
      <c r="E126" s="4"/>
      <c r="F126" s="4"/>
      <c r="G126" s="4"/>
      <c r="H126" s="4"/>
      <c r="I126" s="4"/>
    </row>
    <row r="127" spans="1:9" ht="12.75" x14ac:dyDescent="0.2">
      <c r="A127" s="9" t="s">
        <v>628</v>
      </c>
      <c r="B127" s="12"/>
      <c r="C127" s="14">
        <f>C122/C38</f>
        <v>0.82904097076042749</v>
      </c>
      <c r="D127" s="23"/>
      <c r="E127" s="23"/>
      <c r="F127" s="23"/>
      <c r="G127" s="23"/>
      <c r="H127" s="23"/>
      <c r="I127" s="23"/>
    </row>
    <row r="128" spans="1:9" ht="12.75" x14ac:dyDescent="0.2">
      <c r="A128" s="9" t="s">
        <v>629</v>
      </c>
      <c r="B128" s="12"/>
      <c r="C128" s="14">
        <f>Baseline!$I$6/C38</f>
        <v>3.9957710400256585E-2</v>
      </c>
      <c r="D128" s="23"/>
      <c r="E128" s="23"/>
      <c r="F128" s="23"/>
      <c r="G128" s="23"/>
      <c r="H128" s="23"/>
      <c r="I128" s="23"/>
    </row>
    <row r="129" spans="1:9" ht="12.75" x14ac:dyDescent="0.2">
      <c r="A129" s="9" t="s">
        <v>630</v>
      </c>
      <c r="B129" s="12"/>
      <c r="C129" s="14">
        <f>C127+C128</f>
        <v>0.86899868116068402</v>
      </c>
      <c r="D129" s="23"/>
      <c r="E129" s="23"/>
      <c r="F129" s="23"/>
      <c r="G129" s="23"/>
      <c r="H129" s="23"/>
      <c r="I129" s="23"/>
    </row>
    <row r="130" spans="1:9" ht="12.75" x14ac:dyDescent="0.2">
      <c r="A130" s="9" t="s">
        <v>631</v>
      </c>
      <c r="B130" s="12"/>
      <c r="C130" s="14">
        <f>1-C127-C128</f>
        <v>0.13100131883931593</v>
      </c>
      <c r="D130" s="23"/>
      <c r="E130" s="23"/>
      <c r="F130" s="23"/>
      <c r="G130" s="23"/>
      <c r="H130" s="23"/>
      <c r="I130" s="23"/>
    </row>
    <row r="131" spans="1:9" ht="12.75" x14ac:dyDescent="0.2">
      <c r="A131" s="9" t="s">
        <v>632</v>
      </c>
      <c r="B131" s="12"/>
      <c r="C131" s="14">
        <f>1-Mission!C78/C38</f>
        <v>0.44606696711716409</v>
      </c>
      <c r="D131" s="23"/>
      <c r="E131" s="23"/>
      <c r="F131" s="23"/>
      <c r="G131" s="23"/>
      <c r="H131" s="23"/>
      <c r="I131" s="23"/>
    </row>
    <row r="132" spans="1:9" ht="12.75" x14ac:dyDescent="0.2">
      <c r="A132" s="4"/>
      <c r="B132" s="4"/>
      <c r="C132" s="4"/>
      <c r="D132" s="4"/>
      <c r="E132" s="4"/>
      <c r="F132" s="4"/>
      <c r="G132" s="4"/>
      <c r="H132" s="4"/>
      <c r="I132" s="4"/>
    </row>
    <row r="133" spans="1:9" ht="12.75" x14ac:dyDescent="0.2">
      <c r="A133" s="4"/>
      <c r="B133" s="4"/>
      <c r="C133" s="4"/>
      <c r="D133" s="4"/>
      <c r="E133" s="4"/>
      <c r="F133" s="4"/>
      <c r="G133" s="4"/>
      <c r="H133" s="4"/>
      <c r="I133" s="4"/>
    </row>
    <row r="134" spans="1:9" ht="12.75" x14ac:dyDescent="0.2">
      <c r="A134" s="2" t="s">
        <v>17</v>
      </c>
      <c r="B134" s="4"/>
      <c r="C134" s="4"/>
      <c r="D134" s="4"/>
      <c r="E134" s="4"/>
      <c r="F134" s="4"/>
      <c r="G134" s="4"/>
      <c r="H134" s="4"/>
      <c r="I134" s="4"/>
    </row>
    <row r="135" spans="1:9" ht="12.75" x14ac:dyDescent="0.2">
      <c r="A135" s="5" t="s">
        <v>633</v>
      </c>
      <c r="B135" s="4"/>
      <c r="C135" s="4"/>
      <c r="D135" s="4"/>
      <c r="E135" s="4"/>
      <c r="F135" s="4"/>
      <c r="G135" s="4"/>
      <c r="H135" s="4"/>
      <c r="I135" s="4"/>
    </row>
    <row r="136" spans="1:9" ht="12.75" x14ac:dyDescent="0.2">
      <c r="A136" s="5" t="s">
        <v>634</v>
      </c>
      <c r="B136" s="4"/>
      <c r="C136" s="4"/>
      <c r="D136" s="4"/>
      <c r="E136" s="4"/>
      <c r="F136" s="4"/>
      <c r="G136" s="4"/>
      <c r="H136" s="4"/>
      <c r="I136" s="4"/>
    </row>
    <row r="137" spans="1:9" ht="12.75" x14ac:dyDescent="0.2">
      <c r="A137" s="9" t="s">
        <v>635</v>
      </c>
      <c r="B137" s="9" t="s">
        <v>636</v>
      </c>
      <c r="C137" s="21">
        <v>22</v>
      </c>
      <c r="D137" s="4"/>
      <c r="E137" s="4"/>
      <c r="F137" s="4"/>
      <c r="G137" s="4"/>
      <c r="H137" s="4"/>
      <c r="I137" s="4"/>
    </row>
    <row r="138" spans="1:9" ht="12.75" x14ac:dyDescent="0.2">
      <c r="A138" s="9" t="s">
        <v>116</v>
      </c>
      <c r="B138" s="12"/>
      <c r="C138" s="21"/>
      <c r="D138" s="4"/>
      <c r="E138" s="4"/>
      <c r="F138" s="4"/>
      <c r="G138" s="4"/>
      <c r="H138" s="4"/>
      <c r="I138" s="4"/>
    </row>
    <row r="139" spans="1:9" ht="12.75" x14ac:dyDescent="0.2">
      <c r="A139" s="9" t="s">
        <v>637</v>
      </c>
      <c r="B139" s="9" t="s">
        <v>638</v>
      </c>
      <c r="C139" s="21">
        <f>Baseline!C43*12</f>
        <v>253.49791382549546</v>
      </c>
      <c r="D139" s="4"/>
      <c r="E139" s="4"/>
      <c r="F139" s="4"/>
      <c r="G139" s="4"/>
      <c r="H139" s="4"/>
      <c r="I139" s="4"/>
    </row>
    <row r="140" spans="1:9" ht="12.75" x14ac:dyDescent="0.2">
      <c r="A140" s="9" t="s">
        <v>639</v>
      </c>
      <c r="B140" s="9" t="s">
        <v>640</v>
      </c>
      <c r="C140" s="21">
        <f>C147-C137</f>
        <v>403</v>
      </c>
      <c r="D140" s="4"/>
      <c r="E140" s="4"/>
      <c r="F140" s="4"/>
      <c r="G140" s="4"/>
      <c r="H140" s="4"/>
      <c r="I140" s="4"/>
    </row>
    <row r="141" spans="1:9" ht="12.75" x14ac:dyDescent="0.2">
      <c r="A141" s="9" t="s">
        <v>641</v>
      </c>
      <c r="B141" s="9" t="s">
        <v>642</v>
      </c>
      <c r="C141" s="21">
        <f>C140+C139</f>
        <v>656.49791382549552</v>
      </c>
      <c r="D141" s="4"/>
      <c r="E141" s="4"/>
      <c r="F141" s="4"/>
      <c r="G141" s="4"/>
      <c r="H141" s="4"/>
      <c r="I141" s="4"/>
    </row>
    <row r="142" spans="1:9" ht="12.75" x14ac:dyDescent="0.2">
      <c r="A142" s="4"/>
      <c r="B142" s="4"/>
      <c r="C142" s="48"/>
      <c r="D142" s="4"/>
      <c r="E142" s="4"/>
      <c r="F142" s="4"/>
      <c r="G142" s="4"/>
      <c r="H142" s="4"/>
      <c r="I142" s="4"/>
    </row>
    <row r="143" spans="1:9" ht="12.75" x14ac:dyDescent="0.2">
      <c r="A143" s="4"/>
      <c r="B143" s="4"/>
      <c r="C143" s="4"/>
      <c r="D143" s="4"/>
      <c r="E143" s="4"/>
      <c r="F143" s="4"/>
      <c r="G143" s="4"/>
      <c r="H143" s="4"/>
      <c r="I143" s="4"/>
    </row>
    <row r="144" spans="1:9" ht="12.75" x14ac:dyDescent="0.2">
      <c r="A144" s="12"/>
      <c r="B144" s="19" t="s">
        <v>407</v>
      </c>
      <c r="C144" s="19" t="s">
        <v>643</v>
      </c>
      <c r="D144" s="19" t="s">
        <v>644</v>
      </c>
      <c r="E144" s="19" t="s">
        <v>645</v>
      </c>
      <c r="F144" s="19" t="s">
        <v>646</v>
      </c>
      <c r="G144" s="12"/>
      <c r="H144" s="9" t="s">
        <v>647</v>
      </c>
      <c r="I144" s="9" t="s">
        <v>648</v>
      </c>
    </row>
    <row r="145" spans="1:9" ht="12.75" x14ac:dyDescent="0.2">
      <c r="A145" s="12"/>
      <c r="B145" s="19" t="s">
        <v>649</v>
      </c>
      <c r="C145" s="19" t="s">
        <v>650</v>
      </c>
      <c r="D145" s="19" t="s">
        <v>651</v>
      </c>
      <c r="E145" s="19" t="s">
        <v>650</v>
      </c>
      <c r="F145" s="19" t="s">
        <v>651</v>
      </c>
      <c r="G145" s="12"/>
      <c r="H145" s="19" t="s">
        <v>650</v>
      </c>
      <c r="I145" s="12"/>
    </row>
    <row r="146" spans="1:9" ht="12.75" x14ac:dyDescent="0.2">
      <c r="A146" s="9" t="s">
        <v>652</v>
      </c>
      <c r="B146" s="21">
        <f>C59</f>
        <v>4097.8209130195073</v>
      </c>
      <c r="C146" s="21">
        <v>330</v>
      </c>
      <c r="D146" s="21">
        <f t="shared" ref="D146:D158" si="0">B146*C146</f>
        <v>1352280.9012964375</v>
      </c>
      <c r="E146" s="12"/>
      <c r="F146" s="12"/>
      <c r="G146" s="12"/>
      <c r="H146" s="21">
        <f t="shared" ref="H146:H158" si="1">C146-$C$140</f>
        <v>-73</v>
      </c>
      <c r="I146" s="12"/>
    </row>
    <row r="147" spans="1:9" ht="12.75" x14ac:dyDescent="0.2">
      <c r="A147" s="9" t="s">
        <v>653</v>
      </c>
      <c r="B147" s="21">
        <f>C56</f>
        <v>4420.0880676550278</v>
      </c>
      <c r="C147" s="21">
        <v>425</v>
      </c>
      <c r="D147" s="21">
        <f t="shared" si="0"/>
        <v>1878537.4287533867</v>
      </c>
      <c r="E147" s="12"/>
      <c r="F147" s="12"/>
      <c r="G147" s="12"/>
      <c r="H147" s="21">
        <f t="shared" si="1"/>
        <v>22</v>
      </c>
      <c r="I147" s="12"/>
    </row>
    <row r="148" spans="1:9" ht="12.75" x14ac:dyDescent="0.2">
      <c r="A148" s="9" t="s">
        <v>654</v>
      </c>
      <c r="B148" s="21">
        <f>C57+C58</f>
        <v>5353.1948658878127</v>
      </c>
      <c r="C148" s="21">
        <v>770</v>
      </c>
      <c r="D148" s="21">
        <f t="shared" si="0"/>
        <v>4121960.0467336159</v>
      </c>
      <c r="E148" s="12"/>
      <c r="F148" s="12"/>
      <c r="G148" s="12"/>
      <c r="H148" s="21">
        <f t="shared" si="1"/>
        <v>367</v>
      </c>
      <c r="I148" s="12"/>
    </row>
    <row r="149" spans="1:9" ht="12.75" x14ac:dyDescent="0.2">
      <c r="A149" s="9" t="s">
        <v>655</v>
      </c>
      <c r="B149" s="21">
        <f>C63</f>
        <v>11128.787075371923</v>
      </c>
      <c r="C149" s="21">
        <v>495</v>
      </c>
      <c r="D149" s="21">
        <f t="shared" si="0"/>
        <v>5508749.6023091022</v>
      </c>
      <c r="E149" s="12"/>
      <c r="F149" s="12"/>
      <c r="G149" s="12"/>
      <c r="H149" s="21">
        <f t="shared" si="1"/>
        <v>92</v>
      </c>
      <c r="I149" s="12"/>
    </row>
    <row r="150" spans="1:9" ht="12.75" x14ac:dyDescent="0.2">
      <c r="A150" s="9" t="s">
        <v>656</v>
      </c>
      <c r="B150" s="21">
        <f>C61</f>
        <v>1594.6622976401939</v>
      </c>
      <c r="C150" s="21">
        <v>352</v>
      </c>
      <c r="D150" s="21">
        <f t="shared" si="0"/>
        <v>561321.12876934826</v>
      </c>
      <c r="E150" s="12"/>
      <c r="F150" s="12"/>
      <c r="G150" s="12"/>
      <c r="H150" s="21">
        <f t="shared" si="1"/>
        <v>-51</v>
      </c>
      <c r="I150" s="12"/>
    </row>
    <row r="151" spans="1:9" ht="12.75" x14ac:dyDescent="0.2">
      <c r="A151" s="9" t="s">
        <v>657</v>
      </c>
      <c r="B151" s="21">
        <f>C68</f>
        <v>7132.5408073974604</v>
      </c>
      <c r="C151" s="21">
        <v>330</v>
      </c>
      <c r="D151" s="21">
        <f t="shared" si="0"/>
        <v>2353738.4664411619</v>
      </c>
      <c r="E151" s="12"/>
      <c r="F151" s="12"/>
      <c r="G151" s="12"/>
      <c r="H151" s="21">
        <f t="shared" si="1"/>
        <v>-73</v>
      </c>
      <c r="I151" s="12"/>
    </row>
    <row r="152" spans="1:9" ht="12.75" x14ac:dyDescent="0.2">
      <c r="A152" s="9" t="s">
        <v>658</v>
      </c>
      <c r="B152" s="21">
        <f>0.01*Mission!C78</f>
        <v>263.39666410681775</v>
      </c>
      <c r="C152" s="21">
        <v>350</v>
      </c>
      <c r="D152" s="21">
        <f t="shared" si="0"/>
        <v>92188.832437386212</v>
      </c>
      <c r="E152" s="12"/>
      <c r="F152" s="12"/>
      <c r="G152" s="12"/>
      <c r="H152" s="21">
        <f t="shared" si="1"/>
        <v>-53</v>
      </c>
      <c r="I152" s="12"/>
    </row>
    <row r="153" spans="1:9" ht="12.75" x14ac:dyDescent="0.2">
      <c r="A153" s="9" t="s">
        <v>659</v>
      </c>
      <c r="B153" s="21">
        <f>Baseline!$C$4</f>
        <v>250</v>
      </c>
      <c r="C153" s="21">
        <v>110</v>
      </c>
      <c r="D153" s="21">
        <f t="shared" si="0"/>
        <v>27500</v>
      </c>
      <c r="E153" s="12"/>
      <c r="F153" s="12"/>
      <c r="G153" s="12"/>
      <c r="H153" s="21">
        <f t="shared" si="1"/>
        <v>-293</v>
      </c>
      <c r="I153" s="12"/>
    </row>
    <row r="154" spans="1:9" ht="12.75" x14ac:dyDescent="0.2">
      <c r="A154" s="9" t="s">
        <v>660</v>
      </c>
      <c r="B154" s="21">
        <f>Mission!C78</f>
        <v>26339.666410681777</v>
      </c>
      <c r="C154" s="21">
        <v>410</v>
      </c>
      <c r="D154" s="21">
        <f t="shared" si="0"/>
        <v>10799263.228379529</v>
      </c>
      <c r="E154" s="12"/>
      <c r="F154" s="12"/>
      <c r="G154" s="12"/>
      <c r="H154" s="21">
        <f t="shared" si="1"/>
        <v>7</v>
      </c>
      <c r="I154" s="12"/>
    </row>
    <row r="155" spans="1:9" ht="12.75" x14ac:dyDescent="0.2">
      <c r="A155" s="9" t="s">
        <v>661</v>
      </c>
      <c r="B155" s="21">
        <f>Baseline!$C$6</f>
        <v>1900</v>
      </c>
      <c r="C155" s="21">
        <v>308</v>
      </c>
      <c r="D155" s="21">
        <f t="shared" si="0"/>
        <v>585200</v>
      </c>
      <c r="E155" s="12"/>
      <c r="F155" s="12"/>
      <c r="G155" s="12"/>
      <c r="H155" s="21">
        <f t="shared" si="1"/>
        <v>-95</v>
      </c>
      <c r="I155" s="12"/>
    </row>
    <row r="156" spans="1:9" ht="12.75" x14ac:dyDescent="0.2">
      <c r="A156" s="9" t="s">
        <v>662</v>
      </c>
      <c r="B156" s="21"/>
      <c r="C156" s="21"/>
      <c r="D156" s="21">
        <f t="shared" si="0"/>
        <v>0</v>
      </c>
      <c r="E156" s="12"/>
      <c r="F156" s="12"/>
      <c r="G156" s="12"/>
      <c r="H156" s="21">
        <f t="shared" si="1"/>
        <v>-403</v>
      </c>
      <c r="I156" s="12"/>
    </row>
    <row r="157" spans="1:9" ht="12.75" x14ac:dyDescent="0.2">
      <c r="A157" s="9" t="s">
        <v>663</v>
      </c>
      <c r="B157" s="21"/>
      <c r="C157" s="21"/>
      <c r="D157" s="21">
        <f t="shared" si="0"/>
        <v>0</v>
      </c>
      <c r="E157" s="12"/>
      <c r="F157" s="12"/>
      <c r="G157" s="12"/>
      <c r="H157" s="21">
        <f t="shared" si="1"/>
        <v>-403</v>
      </c>
      <c r="I157" s="12"/>
    </row>
    <row r="158" spans="1:9" ht="12.75" x14ac:dyDescent="0.2">
      <c r="A158" s="9" t="s">
        <v>664</v>
      </c>
      <c r="B158" s="21"/>
      <c r="C158" s="21"/>
      <c r="D158" s="21">
        <f t="shared" si="0"/>
        <v>0</v>
      </c>
      <c r="E158" s="12"/>
      <c r="F158" s="12"/>
      <c r="G158" s="12"/>
      <c r="H158" s="21">
        <f t="shared" si="1"/>
        <v>-403</v>
      </c>
      <c r="I158" s="12"/>
    </row>
    <row r="159" spans="1:9" ht="12.75" x14ac:dyDescent="0.2">
      <c r="A159" s="12"/>
      <c r="B159" s="21"/>
      <c r="C159" s="21"/>
      <c r="D159" s="21"/>
      <c r="E159" s="12"/>
      <c r="F159" s="12"/>
      <c r="G159" s="12"/>
      <c r="H159" s="21"/>
      <c r="I159" s="12"/>
    </row>
    <row r="160" spans="1:9" ht="12.75" x14ac:dyDescent="0.2">
      <c r="A160" s="9" t="s">
        <v>665</v>
      </c>
      <c r="B160" s="21">
        <f>SUM(B146:B151)</f>
        <v>33727.094026971929</v>
      </c>
      <c r="C160" s="21">
        <f>D160/B160</f>
        <v>467.77192134271456</v>
      </c>
      <c r="D160" s="21">
        <f>SUM(D146:D151)</f>
        <v>15776587.574303051</v>
      </c>
      <c r="E160" s="12"/>
      <c r="F160" s="12"/>
      <c r="G160" s="12"/>
      <c r="H160" s="21">
        <f t="shared" ref="H160:H165" si="2">C160-$C$140</f>
        <v>64.771921342714563</v>
      </c>
      <c r="I160" s="16">
        <f t="shared" ref="I160:I165" si="3">H160/$C$139</f>
        <v>0.25551264057858353</v>
      </c>
    </row>
    <row r="161" spans="1:9" ht="12.75" x14ac:dyDescent="0.2">
      <c r="A161" s="9" t="s">
        <v>666</v>
      </c>
      <c r="B161" s="21">
        <f>$B$160+$B$152+$B$153</f>
        <v>34240.490691078747</v>
      </c>
      <c r="C161" s="21">
        <f>$D$161/$B$161</f>
        <v>464.25375588680345</v>
      </c>
      <c r="D161" s="21">
        <f>$D$160+$D$152+$D$153</f>
        <v>15896276.406740438</v>
      </c>
      <c r="E161" s="12"/>
      <c r="F161" s="12"/>
      <c r="G161" s="12"/>
      <c r="H161" s="21">
        <f t="shared" si="2"/>
        <v>61.253755886803447</v>
      </c>
      <c r="I161" s="16">
        <f t="shared" si="3"/>
        <v>0.24163416164824814</v>
      </c>
    </row>
    <row r="162" spans="1:9" ht="12.75" x14ac:dyDescent="0.2">
      <c r="A162" s="9" t="s">
        <v>667</v>
      </c>
      <c r="B162" s="21">
        <f>B161+SUM(B155:B158)</f>
        <v>36140.490691078747</v>
      </c>
      <c r="C162" s="21">
        <f>D162/B162</f>
        <v>456.03908778164094</v>
      </c>
      <c r="D162" s="21">
        <f>D161+SUM(D155:D158)</f>
        <v>16481476.406740438</v>
      </c>
      <c r="E162" s="12"/>
      <c r="F162" s="12"/>
      <c r="G162" s="12"/>
      <c r="H162" s="21">
        <f t="shared" si="2"/>
        <v>53.039087781640944</v>
      </c>
      <c r="I162" s="16">
        <f t="shared" si="3"/>
        <v>0.20922889258233635</v>
      </c>
    </row>
    <row r="163" spans="1:9" ht="12.75" x14ac:dyDescent="0.2">
      <c r="A163" s="9" t="s">
        <v>668</v>
      </c>
      <c r="B163" s="21">
        <f>B162+B154</f>
        <v>62480.157101760524</v>
      </c>
      <c r="C163" s="21">
        <f>D163/B163</f>
        <v>436.63045838198235</v>
      </c>
      <c r="D163" s="21">
        <f>D162+D154</f>
        <v>27280739.635119967</v>
      </c>
      <c r="E163" s="12"/>
      <c r="F163" s="12"/>
      <c r="G163" s="12"/>
      <c r="H163" s="21">
        <f t="shared" si="2"/>
        <v>33.630458381982351</v>
      </c>
      <c r="I163" s="16">
        <f t="shared" si="3"/>
        <v>0.13266562187621436</v>
      </c>
    </row>
    <row r="164" spans="1:9" ht="12.75" x14ac:dyDescent="0.2">
      <c r="A164" s="9" t="s">
        <v>669</v>
      </c>
      <c r="B164" s="21">
        <f>B163-SUM(B155:B158)</f>
        <v>60580.157101760524</v>
      </c>
      <c r="C164" s="21">
        <f>D164/B164</f>
        <v>440.66474753899519</v>
      </c>
      <c r="D164" s="21">
        <f>D163-SUM(D155:D158)</f>
        <v>26695539.635119967</v>
      </c>
      <c r="E164" s="12"/>
      <c r="F164" s="12"/>
      <c r="G164" s="12"/>
      <c r="H164" s="21">
        <f t="shared" si="2"/>
        <v>37.664747538995186</v>
      </c>
      <c r="I164" s="16">
        <f t="shared" si="3"/>
        <v>0.14858010849321265</v>
      </c>
    </row>
    <row r="165" spans="1:9" ht="12.75" x14ac:dyDescent="0.2">
      <c r="A165" s="9" t="s">
        <v>666</v>
      </c>
      <c r="B165" s="21">
        <f>$B$160+$B$152+$B$153</f>
        <v>34240.490691078747</v>
      </c>
      <c r="C165" s="21">
        <f>$D$161/$B$161</f>
        <v>464.25375588680345</v>
      </c>
      <c r="D165" s="21">
        <f>$D$160+$D$152+$D$153</f>
        <v>15896276.406740438</v>
      </c>
      <c r="E165" s="12"/>
      <c r="F165" s="12"/>
      <c r="G165" s="12"/>
      <c r="H165" s="21">
        <f t="shared" si="2"/>
        <v>61.253755886803447</v>
      </c>
      <c r="I165" s="16">
        <f t="shared" si="3"/>
        <v>0.24163416164824814</v>
      </c>
    </row>
    <row r="166" spans="1:9" ht="12.75" x14ac:dyDescent="0.2">
      <c r="A166" s="4"/>
      <c r="B166" s="48"/>
      <c r="C166" s="48"/>
      <c r="D166" s="48"/>
      <c r="E166" s="4"/>
      <c r="F166" s="4"/>
      <c r="G166" s="4"/>
      <c r="H166" s="4"/>
      <c r="I166" s="4"/>
    </row>
    <row r="167" spans="1:9" ht="12.75" x14ac:dyDescent="0.2">
      <c r="A167" s="4"/>
      <c r="B167" s="48"/>
      <c r="C167" s="48"/>
      <c r="D167" s="48"/>
      <c r="E167" s="4"/>
      <c r="F167" s="4"/>
      <c r="G167" s="4"/>
      <c r="H167" s="4"/>
      <c r="I167" s="4"/>
    </row>
    <row r="168" spans="1:9" ht="12.75" x14ac:dyDescent="0.2">
      <c r="A168" s="4"/>
      <c r="B168" s="4"/>
      <c r="C168" s="4"/>
      <c r="D168" s="4"/>
      <c r="E168" s="4"/>
      <c r="F168" s="4"/>
      <c r="G168" s="4"/>
      <c r="H168" s="4"/>
      <c r="I168" s="4"/>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workbookViewId="0">
      <selection activeCell="A20" sqref="A20"/>
    </sheetView>
  </sheetViews>
  <sheetFormatPr defaultRowHeight="12" x14ac:dyDescent="0.15"/>
  <cols>
    <col min="1" max="1" width="23.875" customWidth="1"/>
    <col min="2" max="2" width="10.375" customWidth="1"/>
  </cols>
  <sheetData>
    <row r="1" spans="1:7" ht="12.75" x14ac:dyDescent="0.2">
      <c r="A1" s="2" t="s">
        <v>670</v>
      </c>
      <c r="B1" s="4"/>
      <c r="C1" s="4"/>
      <c r="D1" s="4"/>
      <c r="E1" s="4"/>
      <c r="F1" s="4"/>
      <c r="G1" s="4"/>
    </row>
    <row r="2" spans="1:7" ht="12.75" x14ac:dyDescent="0.2">
      <c r="A2" s="4"/>
      <c r="B2" s="4"/>
      <c r="C2" s="4"/>
      <c r="D2" s="4"/>
      <c r="E2" s="4"/>
      <c r="F2" s="4"/>
      <c r="G2" s="4"/>
    </row>
    <row r="3" spans="1:7" ht="12.75" x14ac:dyDescent="0.2">
      <c r="A3" s="5" t="s">
        <v>671</v>
      </c>
      <c r="B3" s="4"/>
      <c r="C3" s="4"/>
      <c r="D3" s="4"/>
      <c r="E3" s="4"/>
      <c r="F3" s="4"/>
      <c r="G3" s="4"/>
    </row>
    <row r="4" spans="1:7" ht="12.75" x14ac:dyDescent="0.2">
      <c r="A4" s="4"/>
      <c r="B4" s="4"/>
      <c r="C4" s="4"/>
      <c r="D4" s="4"/>
      <c r="E4" s="4"/>
      <c r="F4" s="4"/>
      <c r="G4" s="4"/>
    </row>
    <row r="5" spans="1:7" ht="12.75" x14ac:dyDescent="0.2">
      <c r="A5" s="9" t="s">
        <v>672</v>
      </c>
      <c r="B5" s="9" t="s">
        <v>101</v>
      </c>
      <c r="C5" s="14">
        <v>2</v>
      </c>
      <c r="D5" s="4"/>
      <c r="E5" s="4"/>
      <c r="F5" s="4"/>
      <c r="G5" s="4"/>
    </row>
    <row r="6" spans="1:7" ht="12.75" x14ac:dyDescent="0.2">
      <c r="A6" s="12"/>
      <c r="B6" s="12"/>
      <c r="C6" s="12"/>
      <c r="D6" s="4"/>
      <c r="E6" s="4"/>
      <c r="F6" s="4"/>
      <c r="G6" s="4"/>
    </row>
    <row r="7" spans="1:7" ht="12.75" x14ac:dyDescent="0.2">
      <c r="A7" s="9" t="s">
        <v>673</v>
      </c>
      <c r="B7" s="9" t="s">
        <v>674</v>
      </c>
      <c r="C7" s="14">
        <v>0.9</v>
      </c>
      <c r="D7" s="4"/>
      <c r="E7" s="4"/>
      <c r="F7" s="4"/>
      <c r="G7" s="4"/>
    </row>
    <row r="8" spans="1:7" ht="12.75" x14ac:dyDescent="0.2">
      <c r="A8" s="9" t="s">
        <v>675</v>
      </c>
      <c r="B8" s="9" t="s">
        <v>676</v>
      </c>
      <c r="C8" s="14">
        <v>0.75</v>
      </c>
      <c r="D8" s="4"/>
      <c r="E8" s="4"/>
      <c r="F8" s="4"/>
      <c r="G8" s="4"/>
    </row>
    <row r="9" spans="1:7" ht="12.75" x14ac:dyDescent="0.2">
      <c r="A9" s="9" t="s">
        <v>677</v>
      </c>
      <c r="B9" s="9" t="s">
        <v>678</v>
      </c>
      <c r="C9" s="14">
        <v>1</v>
      </c>
      <c r="D9" s="4"/>
      <c r="E9" s="4"/>
      <c r="F9" s="4"/>
      <c r="G9" s="4"/>
    </row>
    <row r="10" spans="1:7" ht="12.75" x14ac:dyDescent="0.2">
      <c r="A10" s="9" t="s">
        <v>679</v>
      </c>
      <c r="B10" s="9" t="s">
        <v>680</v>
      </c>
      <c r="C10" s="14">
        <v>0</v>
      </c>
      <c r="D10" s="4"/>
      <c r="E10" s="4"/>
      <c r="F10" s="4"/>
      <c r="G10" s="4"/>
    </row>
    <row r="11" spans="1:7" ht="12.75" x14ac:dyDescent="0.2">
      <c r="A11" s="9" t="s">
        <v>681</v>
      </c>
      <c r="B11" s="9" t="s">
        <v>682</v>
      </c>
      <c r="C11" s="14">
        <v>0.7</v>
      </c>
      <c r="D11" s="4"/>
      <c r="E11" s="4"/>
      <c r="F11" s="4"/>
      <c r="G11" s="4"/>
    </row>
    <row r="12" spans="1:7" ht="12.75" x14ac:dyDescent="0.2">
      <c r="A12" s="9" t="s">
        <v>683</v>
      </c>
      <c r="B12" s="9" t="s">
        <v>684</v>
      </c>
      <c r="C12" s="14">
        <v>0.747</v>
      </c>
      <c r="D12" s="4"/>
      <c r="E12" s="4"/>
      <c r="F12" s="4"/>
      <c r="G12" s="4"/>
    </row>
    <row r="13" spans="1:7" ht="12.75" x14ac:dyDescent="0.2">
      <c r="A13" s="9" t="s">
        <v>685</v>
      </c>
      <c r="B13" s="9" t="s">
        <v>686</v>
      </c>
      <c r="C13" s="14">
        <v>0.7</v>
      </c>
      <c r="D13" s="4"/>
      <c r="E13" s="4"/>
      <c r="F13" s="4"/>
      <c r="G13" s="4"/>
    </row>
    <row r="14" spans="1:7" ht="12.75" x14ac:dyDescent="0.2">
      <c r="A14" s="9" t="s">
        <v>687</v>
      </c>
      <c r="B14" s="9" t="s">
        <v>688</v>
      </c>
      <c r="C14" s="14">
        <v>1</v>
      </c>
      <c r="D14" s="4"/>
      <c r="E14" s="4"/>
      <c r="F14" s="4"/>
      <c r="G14" s="4"/>
    </row>
    <row r="15" spans="1:7" ht="12.75" x14ac:dyDescent="0.2">
      <c r="A15" s="9" t="s">
        <v>689</v>
      </c>
      <c r="B15" s="9" t="s">
        <v>690</v>
      </c>
      <c r="C15" s="14">
        <v>1</v>
      </c>
      <c r="D15" s="4"/>
      <c r="E15" s="4"/>
      <c r="F15" s="4"/>
      <c r="G15" s="4"/>
    </row>
    <row r="16" spans="1:7" ht="12.75" x14ac:dyDescent="0.2">
      <c r="A16" s="9" t="s">
        <v>691</v>
      </c>
      <c r="B16" s="9" t="s">
        <v>692</v>
      </c>
      <c r="C16" s="14">
        <v>1</v>
      </c>
      <c r="D16" s="4"/>
      <c r="E16" s="4"/>
      <c r="F16" s="4"/>
      <c r="G16" s="4"/>
    </row>
    <row r="17" spans="1:7" ht="12.75" x14ac:dyDescent="0.2">
      <c r="A17" s="9" t="s">
        <v>116</v>
      </c>
      <c r="B17" s="12"/>
      <c r="C17" s="12"/>
      <c r="D17" s="4"/>
      <c r="E17" s="4"/>
      <c r="F17" s="4"/>
      <c r="G17" s="4"/>
    </row>
    <row r="18" spans="1:7" ht="12.75" x14ac:dyDescent="0.2">
      <c r="A18" s="9" t="s">
        <v>693</v>
      </c>
      <c r="B18" s="9" t="s">
        <v>694</v>
      </c>
      <c r="C18" s="14">
        <f>Baseline!C3*Baseline!C7/C5</f>
        <v>26152.649627124021</v>
      </c>
      <c r="D18" s="4"/>
      <c r="E18" s="4"/>
      <c r="F18" s="4"/>
      <c r="G18" s="4"/>
    </row>
    <row r="19" spans="1:7" ht="12.75" x14ac:dyDescent="0.2">
      <c r="A19" s="4" t="s">
        <v>778</v>
      </c>
      <c r="B19" s="4"/>
      <c r="C19" s="4">
        <v>30000</v>
      </c>
      <c r="D19" s="4"/>
      <c r="E19" s="4"/>
      <c r="F19" s="4"/>
      <c r="G19" s="4"/>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G22" sqref="G22"/>
    </sheetView>
  </sheetViews>
  <sheetFormatPr defaultRowHeight="12" x14ac:dyDescent="0.15"/>
  <cols>
    <col min="1" max="1" width="20.875" customWidth="1"/>
  </cols>
  <sheetData>
    <row r="1" spans="1:11" ht="12.75" x14ac:dyDescent="0.2">
      <c r="A1" s="2" t="s">
        <v>503</v>
      </c>
      <c r="B1" s="4"/>
      <c r="C1" s="4"/>
      <c r="D1" s="4"/>
      <c r="E1" s="4"/>
      <c r="F1" s="4"/>
      <c r="G1" s="4"/>
      <c r="H1" s="4"/>
      <c r="I1" s="4"/>
      <c r="J1" s="4"/>
      <c r="K1" s="4"/>
    </row>
    <row r="2" spans="1:11" ht="12.75" x14ac:dyDescent="0.2">
      <c r="A2" s="2"/>
      <c r="B2" s="4"/>
      <c r="C2" s="4"/>
      <c r="D2" s="4"/>
      <c r="E2" s="4"/>
      <c r="F2" s="4"/>
      <c r="G2" s="4"/>
      <c r="H2" s="4"/>
      <c r="I2" s="4"/>
      <c r="J2" s="4"/>
      <c r="K2" s="4"/>
    </row>
    <row r="3" spans="1:11" ht="12.75" x14ac:dyDescent="0.2">
      <c r="A3" s="108" t="s">
        <v>504</v>
      </c>
      <c r="B3" s="109"/>
      <c r="C3" s="110"/>
      <c r="D3" s="9" t="s">
        <v>505</v>
      </c>
      <c r="E3" s="49">
        <v>1.4</v>
      </c>
      <c r="F3" s="4"/>
      <c r="G3" s="4"/>
      <c r="H3" s="4"/>
      <c r="I3" s="4"/>
      <c r="J3" s="4"/>
      <c r="K3" s="4"/>
    </row>
    <row r="4" spans="1:11" ht="12.75" x14ac:dyDescent="0.2">
      <c r="A4" s="108" t="s">
        <v>506</v>
      </c>
      <c r="B4" s="109"/>
      <c r="C4" s="110"/>
      <c r="D4" s="9" t="s">
        <v>506</v>
      </c>
      <c r="E4" s="49">
        <v>32.173999999999999</v>
      </c>
      <c r="F4" s="4"/>
      <c r="G4" s="4"/>
      <c r="H4" s="4"/>
      <c r="I4" s="4"/>
      <c r="J4" s="4"/>
      <c r="K4" s="4"/>
    </row>
    <row r="5" spans="1:11" ht="12.75" x14ac:dyDescent="0.2">
      <c r="A5" s="108" t="s">
        <v>507</v>
      </c>
      <c r="B5" s="109"/>
      <c r="C5" s="110"/>
      <c r="D5" s="9" t="s">
        <v>508</v>
      </c>
      <c r="E5" s="49">
        <v>53.35</v>
      </c>
      <c r="F5" s="4"/>
      <c r="G5" s="4"/>
      <c r="H5" s="4"/>
      <c r="I5" s="4"/>
      <c r="J5" s="4"/>
      <c r="K5" s="4"/>
    </row>
    <row r="6" spans="1:11" ht="12.75" x14ac:dyDescent="0.2">
      <c r="A6" s="108" t="s">
        <v>509</v>
      </c>
      <c r="B6" s="109"/>
      <c r="C6" s="110"/>
      <c r="D6" s="9" t="s">
        <v>510</v>
      </c>
      <c r="E6" s="49">
        <v>-3.5661600000000001E-3</v>
      </c>
      <c r="F6" s="4"/>
      <c r="G6" s="4"/>
      <c r="H6" s="4"/>
      <c r="I6" s="4"/>
      <c r="J6" s="4"/>
      <c r="K6" s="4"/>
    </row>
    <row r="7" spans="1:11" ht="12.75" x14ac:dyDescent="0.2">
      <c r="A7" s="108" t="s">
        <v>511</v>
      </c>
      <c r="B7" s="109"/>
      <c r="C7" s="110"/>
      <c r="D7" s="9" t="s">
        <v>512</v>
      </c>
      <c r="E7" s="49">
        <v>518.70000000000005</v>
      </c>
      <c r="F7" s="4"/>
      <c r="G7" s="4"/>
      <c r="H7" s="4"/>
      <c r="I7" s="4"/>
      <c r="J7" s="4"/>
      <c r="K7" s="4"/>
    </row>
    <row r="8" spans="1:11" ht="12.75" x14ac:dyDescent="0.2">
      <c r="A8" s="108" t="s">
        <v>513</v>
      </c>
      <c r="B8" s="109"/>
      <c r="C8" s="110"/>
      <c r="D8" s="9" t="s">
        <v>514</v>
      </c>
      <c r="E8" s="49">
        <v>2.3770000000000002E-3</v>
      </c>
      <c r="F8" s="4"/>
      <c r="G8" s="4"/>
      <c r="H8" s="4"/>
      <c r="I8" s="4"/>
      <c r="J8" s="4"/>
      <c r="K8" s="4"/>
    </row>
    <row r="9" spans="1:11" ht="12.75" x14ac:dyDescent="0.2">
      <c r="A9" s="108" t="s">
        <v>515</v>
      </c>
      <c r="B9" s="109"/>
      <c r="C9" s="110"/>
      <c r="D9" s="9" t="s">
        <v>516</v>
      </c>
      <c r="E9" s="49">
        <v>54</v>
      </c>
      <c r="F9" s="4"/>
      <c r="G9" s="4"/>
      <c r="H9" s="4"/>
      <c r="I9" s="4"/>
      <c r="J9" s="4"/>
      <c r="K9" s="4"/>
    </row>
    <row r="10" spans="1:11" ht="12.75" x14ac:dyDescent="0.2">
      <c r="A10" s="108" t="s">
        <v>517</v>
      </c>
      <c r="B10" s="109"/>
      <c r="C10" s="110"/>
      <c r="D10" s="9" t="s">
        <v>518</v>
      </c>
      <c r="E10" s="49">
        <f>2116.2/144</f>
        <v>14.695833333333333</v>
      </c>
      <c r="F10" s="4"/>
      <c r="G10" s="4"/>
      <c r="H10" s="4"/>
      <c r="I10" s="4"/>
      <c r="J10" s="4"/>
      <c r="K10" s="4"/>
    </row>
    <row r="11" spans="1:11" ht="12.75" x14ac:dyDescent="0.2">
      <c r="A11" s="108" t="s">
        <v>519</v>
      </c>
      <c r="B11" s="109"/>
      <c r="C11" s="110"/>
      <c r="D11" s="9" t="s">
        <v>520</v>
      </c>
      <c r="E11" s="14">
        <f>E8*(E7/(E7+$E$9))</f>
        <v>2.1528721843897332E-3</v>
      </c>
      <c r="F11" s="4"/>
      <c r="G11" s="4"/>
      <c r="H11" s="4"/>
      <c r="I11" s="4"/>
      <c r="J11" s="4"/>
      <c r="K11" s="4"/>
    </row>
    <row r="12" spans="1:11" ht="12.75" x14ac:dyDescent="0.2">
      <c r="A12" s="4"/>
      <c r="B12" s="4"/>
      <c r="C12" s="4"/>
      <c r="D12" s="4"/>
      <c r="E12" s="4"/>
      <c r="F12" s="4"/>
      <c r="G12" s="4"/>
      <c r="H12" s="4"/>
      <c r="I12" s="4"/>
      <c r="J12" s="4"/>
      <c r="K12" s="4"/>
    </row>
    <row r="13" spans="1:11" ht="12.75" x14ac:dyDescent="0.2">
      <c r="A13" s="4"/>
      <c r="B13" s="4"/>
      <c r="C13" s="4"/>
      <c r="D13" s="4"/>
      <c r="E13" s="4"/>
      <c r="F13" s="4"/>
      <c r="G13" s="4"/>
      <c r="H13" s="4"/>
      <c r="I13" s="4"/>
      <c r="J13" s="4"/>
      <c r="K13" s="4"/>
    </row>
    <row r="14" spans="1:11" ht="12.75" x14ac:dyDescent="0.2">
      <c r="A14" s="4"/>
      <c r="B14" s="4"/>
      <c r="C14" s="4"/>
      <c r="D14" s="4"/>
      <c r="E14" s="4"/>
      <c r="F14" s="4"/>
      <c r="G14" s="4"/>
      <c r="H14" s="4"/>
      <c r="I14" s="4"/>
      <c r="J14" s="4"/>
      <c r="K14" s="4"/>
    </row>
    <row r="15" spans="1:11" ht="12.75" x14ac:dyDescent="0.2">
      <c r="A15" s="4"/>
      <c r="B15" s="4"/>
      <c r="C15" s="30" t="s">
        <v>417</v>
      </c>
      <c r="D15" s="28"/>
      <c r="E15" s="28"/>
      <c r="F15" s="28"/>
      <c r="G15" s="28"/>
      <c r="H15" s="29" t="s">
        <v>521</v>
      </c>
      <c r="I15" s="29" t="s">
        <v>522</v>
      </c>
      <c r="J15" s="4"/>
      <c r="K15" s="4"/>
    </row>
    <row r="16" spans="1:11" ht="12.75" x14ac:dyDescent="0.2">
      <c r="A16" s="4"/>
      <c r="B16" s="4"/>
      <c r="C16" s="33" t="s">
        <v>412</v>
      </c>
      <c r="D16" s="33" t="s">
        <v>523</v>
      </c>
      <c r="E16" s="33" t="s">
        <v>524</v>
      </c>
      <c r="F16" s="33" t="s">
        <v>417</v>
      </c>
      <c r="G16" s="44" t="s">
        <v>525</v>
      </c>
      <c r="H16" s="44" t="s">
        <v>525</v>
      </c>
      <c r="I16" s="44" t="s">
        <v>526</v>
      </c>
      <c r="J16" s="4"/>
      <c r="K16" s="4"/>
    </row>
    <row r="17" spans="1:11" ht="12.75" x14ac:dyDescent="0.2">
      <c r="A17" s="4"/>
      <c r="B17" s="4"/>
      <c r="C17" s="39" t="s">
        <v>419</v>
      </c>
      <c r="D17" s="39" t="s">
        <v>527</v>
      </c>
      <c r="E17" s="39" t="s">
        <v>420</v>
      </c>
      <c r="F17" s="39" t="s">
        <v>528</v>
      </c>
      <c r="G17" s="39" t="s">
        <v>529</v>
      </c>
      <c r="H17" s="38" t="s">
        <v>530</v>
      </c>
      <c r="I17" s="38" t="s">
        <v>531</v>
      </c>
      <c r="J17" s="4"/>
      <c r="K17" s="4"/>
    </row>
    <row r="18" spans="1:11" ht="12.75" x14ac:dyDescent="0.2">
      <c r="A18" s="108" t="str">
        <f>Mission!A7</f>
        <v>Phase 1 - Takeoff:</v>
      </c>
      <c r="B18" s="110"/>
      <c r="C18" s="14">
        <f>Mission!$C$13</f>
        <v>0</v>
      </c>
      <c r="D18" s="15">
        <f>-69.7+$E$9-IF(+C18&lt;36089,(36089-C18)*$E$6,0)</f>
        <v>112.99914824</v>
      </c>
      <c r="E18" s="15">
        <f>SQRT($E$3*$E$4*$E$5*(459.7+D18))</f>
        <v>1173.1323935165778</v>
      </c>
      <c r="F18" s="16">
        <f>IF(C18&lt;36089,$E$10*(1+$E$6*C18/519)^(-1/($E$6*$E$5)),$E$10*0.2234*EXP(-(C18-36089)/20806.7))</f>
        <v>14.695833333333333</v>
      </c>
      <c r="G18" s="14">
        <f>$E$11*(F18/$E$10)*((518.7+$E$9)/(459.7+D18))</f>
        <v>2.1528753862984796E-3</v>
      </c>
      <c r="H18" s="14">
        <f t="shared" ref="H18:H27" si="0">G18/0.002377</f>
        <v>0.90571114274231357</v>
      </c>
      <c r="I18" s="45">
        <f>0.00000073025*(D18+460)^1.5/(D18+460+198.72)/32.2</f>
        <v>4.0307641035468799E-7</v>
      </c>
      <c r="J18" s="4"/>
      <c r="K18" s="4"/>
    </row>
    <row r="19" spans="1:11" ht="12.75" x14ac:dyDescent="0.2">
      <c r="A19" s="108" t="str">
        <f>Mission!A10</f>
        <v>Phase 2 - Climb &amp; Accel:</v>
      </c>
      <c r="B19" s="110"/>
      <c r="C19" s="9" t="s">
        <v>532</v>
      </c>
      <c r="D19" s="15"/>
      <c r="E19" s="46" t="s">
        <v>19</v>
      </c>
      <c r="F19" s="47" t="s">
        <v>19</v>
      </c>
      <c r="G19" s="14">
        <f>(G18+G20)/2</f>
        <v>1.6417583847920659E-3</v>
      </c>
      <c r="H19" s="14">
        <f t="shared" si="0"/>
        <v>0.69068505881029274</v>
      </c>
      <c r="I19" s="45"/>
      <c r="J19" s="4"/>
      <c r="K19" s="4"/>
    </row>
    <row r="20" spans="1:11" ht="12.75" x14ac:dyDescent="0.2">
      <c r="A20" s="108" t="str">
        <f>Mission!A16</f>
        <v>Phase 3 - Subsonic Cruise:</v>
      </c>
      <c r="B20" s="110"/>
      <c r="C20" s="14">
        <f>Mission!$C$15</f>
        <v>20000</v>
      </c>
      <c r="D20" s="15">
        <f>-69.7+$E$9-IF(+C20&lt;36089,(36089-C20)*$E$6,0)</f>
        <v>41.675948239999997</v>
      </c>
      <c r="E20" s="15">
        <f>SQRT($E$3*$E$4*$E$5*(459.7+D20))</f>
        <v>1097.6541068457509</v>
      </c>
      <c r="F20" s="16">
        <f>IF(C20&lt;36089,$E$10*(1+$E$6*C20/519)^(-1/($E$6*$E$5)),$E$10*0.2234*EXP(-(C20-36089)/20806.7))</f>
        <v>6.7567392894733436</v>
      </c>
      <c r="G20" s="14">
        <f>$E$11*(F20/$E$10)*((518.7+$E$9)/(459.7+D20))</f>
        <v>1.1306413832856521E-3</v>
      </c>
      <c r="H20" s="14">
        <f t="shared" si="0"/>
        <v>0.47565897487827175</v>
      </c>
      <c r="I20" s="45">
        <f>0.00000073025*(D20+460)^1.5/(D20+460+198.72)/32.2</f>
        <v>3.6383710654168794E-7</v>
      </c>
      <c r="J20" s="4"/>
      <c r="K20" s="4"/>
    </row>
    <row r="21" spans="1:11" ht="12.75" x14ac:dyDescent="0.2">
      <c r="A21" s="108" t="str">
        <f>Mission!A19</f>
        <v>Phase 4 - Loiter (for ASW):</v>
      </c>
      <c r="B21" s="110"/>
      <c r="C21" s="14">
        <f>Mission!$C$21</f>
        <v>30000</v>
      </c>
      <c r="D21" s="15">
        <f>-69.7+$E$9-IF(+C21&lt;36089,(36089-C21)*$E$6,0)</f>
        <v>6.0143482399999968</v>
      </c>
      <c r="E21" s="15">
        <f>SQRT($E$3*$E$4*$E$5*(459.7+D21))</f>
        <v>1057.8974435426371</v>
      </c>
      <c r="F21" s="16">
        <f>IF(C21&lt;36089,$E$10*(1+$E$6*C21/519)^(-1/($E$6*$E$5)),$E$10*0.2234*EXP(-(C21-36089)/20806.7))</f>
        <v>4.367643329792096</v>
      </c>
      <c r="G21" s="14">
        <f>$E$11*(F21/$E$10)*((518.7+$E$9)/(459.7+D21))</f>
        <v>7.8682610298463419E-4</v>
      </c>
      <c r="H21" s="14">
        <f t="shared" si="0"/>
        <v>0.33101645056147838</v>
      </c>
      <c r="I21" s="12"/>
      <c r="J21" s="8"/>
      <c r="K21" s="4"/>
    </row>
    <row r="22" spans="1:11" ht="12.75" x14ac:dyDescent="0.2">
      <c r="A22" s="9" t="str">
        <f>Mission!A24</f>
        <v>Phase 5 - Accel to Supercruise:</v>
      </c>
      <c r="B22" s="75"/>
      <c r="C22" s="79">
        <f>Mission!C27</f>
        <v>30000</v>
      </c>
      <c r="D22" s="15">
        <f t="shared" ref="D22" si="1">-69.7+$E$9-IF(+C22&lt;36089,(36089-C22)*$E$6,0)</f>
        <v>6.0143482399999968</v>
      </c>
      <c r="E22" s="15">
        <f t="shared" ref="E22" si="2">SQRT($E$3*$E$4*$E$5*(459.7+D22))</f>
        <v>1057.8974435426371</v>
      </c>
      <c r="F22" s="16">
        <f>IF(C22&lt;36089,$E$10*(1+$E$6*C22/519)^(-1/($E$6*$E$5)),$E$10*0.2234*EXP(-(C22-36089)/20806.7))</f>
        <v>4.367643329792096</v>
      </c>
      <c r="G22" s="14">
        <f>$E$11*(F22/$E$10)*((518.7+$E$9)/(459.7+D22))</f>
        <v>7.8682610298463419E-4</v>
      </c>
      <c r="H22" s="14">
        <f t="shared" si="0"/>
        <v>0.33101645056147838</v>
      </c>
      <c r="I22" s="12"/>
      <c r="J22" s="8"/>
      <c r="K22" s="4"/>
    </row>
    <row r="23" spans="1:11" ht="12.75" x14ac:dyDescent="0.2">
      <c r="A23" s="9" t="str">
        <f>Mission!A28</f>
        <v>Phase 6 - Supersonic Penetration:</v>
      </c>
      <c r="B23" s="75"/>
      <c r="C23" s="14">
        <f>Mission!$C$27</f>
        <v>30000</v>
      </c>
      <c r="D23" s="15">
        <f>-69.7+$E$9-IF(+C23&lt;36089,(36089-C23)*$E$6,0)</f>
        <v>6.0143482399999968</v>
      </c>
      <c r="E23" s="15">
        <f>SQRT($E$3*$E$4*$E$5*(459.7+D23))</f>
        <v>1057.8974435426371</v>
      </c>
      <c r="F23" s="16">
        <f>IF(C23&lt;36089,$E$10*(1+$E$6*C23/519)^(-1/($E$6*$E$5)),$E$10*0.2234*EXP(-(C23-36089)/20806.7))</f>
        <v>4.367643329792096</v>
      </c>
      <c r="G23" s="14">
        <f>$E$11*(F23/$E$10)*((518.7+$E$9)/(459.7+D23))</f>
        <v>7.8682610298463419E-4</v>
      </c>
      <c r="H23" s="14">
        <f t="shared" si="0"/>
        <v>0.33101645056147838</v>
      </c>
      <c r="I23" s="12"/>
      <c r="J23" s="8"/>
      <c r="K23" s="4"/>
    </row>
    <row r="24" spans="1:11" ht="12.75" x14ac:dyDescent="0.2">
      <c r="A24" s="108" t="str">
        <f>Mission!A31</f>
        <v>Phase 7 - Combat (final):</v>
      </c>
      <c r="B24" s="110"/>
      <c r="C24" s="14">
        <f>Mission!$C$35</f>
        <v>0</v>
      </c>
      <c r="D24" s="15">
        <f>-69.7+$E$9-IF(+C24&lt;36089,(36089-C24)*$E$6,0)</f>
        <v>112.99914824</v>
      </c>
      <c r="E24" s="15">
        <f>SQRT($E$3*$E$4*$E$5*(459.7+D24))</f>
        <v>1173.1323935165778</v>
      </c>
      <c r="F24" s="16">
        <f>IF(C24&lt;36089,$E$10*(1+$E$6*C24/519)^(-1/($E$6*$E$5)),$E$10*0.2234*EXP(-(C24-36089)/20806.7))</f>
        <v>14.695833333333333</v>
      </c>
      <c r="G24" s="14">
        <f>$E$11*(F24/$E$10)*((518.7+$E$9)/(459.7+D24))</f>
        <v>2.1528753862984796E-3</v>
      </c>
      <c r="H24" s="14">
        <f t="shared" si="0"/>
        <v>0.90571114274231357</v>
      </c>
      <c r="I24" s="12"/>
      <c r="J24" s="8"/>
      <c r="K24" s="4"/>
    </row>
    <row r="25" spans="1:11" ht="12.75" x14ac:dyDescent="0.2">
      <c r="A25" s="108" t="str">
        <f>Mission!A39</f>
        <v>Phase 9 - Climb &amp; Accel:</v>
      </c>
      <c r="B25" s="110"/>
      <c r="C25" s="12"/>
      <c r="D25" s="46" t="s">
        <v>19</v>
      </c>
      <c r="E25" s="46" t="s">
        <v>19</v>
      </c>
      <c r="F25" s="47" t="s">
        <v>19</v>
      </c>
      <c r="G25" s="9" t="s">
        <v>19</v>
      </c>
      <c r="H25" s="14" t="e">
        <f t="shared" si="0"/>
        <v>#VALUE!</v>
      </c>
      <c r="I25" s="12"/>
      <c r="J25" s="8"/>
      <c r="K25" s="4"/>
    </row>
    <row r="26" spans="1:11" ht="12.75" x14ac:dyDescent="0.2">
      <c r="A26" s="9" t="str">
        <f>Mission!A43</f>
        <v>Phase 10 - Supercruise Return:</v>
      </c>
      <c r="B26" s="75"/>
      <c r="C26" s="14">
        <f>Mission!$C$42</f>
        <v>33000</v>
      </c>
      <c r="D26" s="15">
        <f>-69.7+$E$9-IF(+C26&lt;36089,(36089-C26)*$E$6,0)</f>
        <v>-4.6841317600000032</v>
      </c>
      <c r="E26" s="15">
        <f>SQRT($E$3*$E$4*$E$5*(459.7+D26))</f>
        <v>1045.675733622837</v>
      </c>
      <c r="F26" s="16">
        <f>IF(C26&lt;36089,$E$10*(1+$E$6*C26/519)^(-1/($E$6*$E$5)),$E$10*0.2234*EXP(-(C26-36089)/20806.7))</f>
        <v>3.8035654490387825</v>
      </c>
      <c r="G26" s="14">
        <f>$E$11*(F26/$E$10)*((518.7+$E$9)/(459.7+D26))</f>
        <v>7.0131893225186418E-4</v>
      </c>
      <c r="H26" s="14">
        <f t="shared" si="0"/>
        <v>0.29504372412783514</v>
      </c>
      <c r="I26" s="12"/>
      <c r="J26" s="8"/>
      <c r="K26" s="4"/>
    </row>
    <row r="27" spans="1:11" ht="12.75" x14ac:dyDescent="0.2">
      <c r="A27" s="9" t="str">
        <f>Mission!A45</f>
        <v>Phase 11 - Subsonic Cruise:</v>
      </c>
      <c r="B27" s="75"/>
      <c r="C27" s="14">
        <f>Mission!$C$47</f>
        <v>35000</v>
      </c>
      <c r="D27" s="15">
        <f>-69.7+$E$9-IF(+C27&lt;36089,(36089-C27)*$E$6,0)</f>
        <v>-11.816451760000003</v>
      </c>
      <c r="E27" s="15">
        <f>SQRT($E$3*$E$4*$E$5*(459.7+D27))</f>
        <v>1037.4479420401772</v>
      </c>
      <c r="F27" s="16">
        <f>IF(C27&lt;36089,$E$10*(1+$E$6*C27/519)^(-1/($E$6*$E$5)),$E$10*0.2234*EXP(-(C27-36089)/20806.7))</f>
        <v>3.4614432852086239</v>
      </c>
      <c r="G27" s="14">
        <f>$E$11*(F27/$E$10)*((518.7+$E$9)/(459.7+D27))</f>
        <v>6.4840047128798546E-4</v>
      </c>
      <c r="H27" s="14">
        <f t="shared" si="0"/>
        <v>0.27278101442489922</v>
      </c>
      <c r="I27" s="12"/>
      <c r="J27" s="8"/>
      <c r="K27" s="4"/>
    </row>
    <row r="28" spans="1:11" ht="12.75" x14ac:dyDescent="0.2">
      <c r="A28" s="108" t="str">
        <f>Mission!A49</f>
        <v>Phase 12 - Descent:</v>
      </c>
      <c r="B28" s="110"/>
      <c r="C28" s="12"/>
      <c r="D28" s="12"/>
      <c r="E28" s="12"/>
      <c r="F28" s="46" t="s">
        <v>19</v>
      </c>
      <c r="G28" s="46" t="s">
        <v>19</v>
      </c>
      <c r="H28" s="12"/>
      <c r="I28" s="12"/>
      <c r="J28" s="4"/>
      <c r="K28" s="4"/>
    </row>
    <row r="29" spans="1:11" ht="12.75" x14ac:dyDescent="0.2">
      <c r="A29" s="108" t="str">
        <f>Mission!A52</f>
        <v>Phase 13 - Land &amp; Taxi:</v>
      </c>
      <c r="B29" s="110"/>
      <c r="C29" s="12"/>
      <c r="D29" s="12"/>
      <c r="E29" s="12"/>
      <c r="F29" s="46" t="s">
        <v>19</v>
      </c>
      <c r="G29" s="46" t="s">
        <v>19</v>
      </c>
      <c r="H29" s="12"/>
      <c r="I29" s="12"/>
      <c r="J29" s="4"/>
      <c r="K29" s="4"/>
    </row>
    <row r="30" spans="1:11" ht="12.75" x14ac:dyDescent="0.2">
      <c r="A30" s="4"/>
      <c r="B30" s="4"/>
      <c r="C30" s="4"/>
      <c r="D30" s="4"/>
      <c r="E30" s="4"/>
      <c r="F30" s="4"/>
      <c r="G30" s="4"/>
      <c r="H30" s="4"/>
      <c r="I30" s="4"/>
      <c r="J30" s="4"/>
      <c r="K30" s="4"/>
    </row>
    <row r="31" spans="1:11" ht="12.75" x14ac:dyDescent="0.2">
      <c r="A31" s="4"/>
      <c r="B31" s="4"/>
      <c r="C31" s="4"/>
      <c r="D31" s="4"/>
      <c r="E31" s="4"/>
      <c r="F31" s="4"/>
      <c r="G31" s="4"/>
      <c r="H31" s="4"/>
      <c r="I31" s="4"/>
      <c r="J31" s="4"/>
      <c r="K31" s="4"/>
    </row>
  </sheetData>
  <mergeCells count="17">
    <mergeCell ref="A8:C8"/>
    <mergeCell ref="A9:C9"/>
    <mergeCell ref="A10:C10"/>
    <mergeCell ref="A18:B18"/>
    <mergeCell ref="A19:B19"/>
    <mergeCell ref="A3:C3"/>
    <mergeCell ref="A4:C4"/>
    <mergeCell ref="A5:C5"/>
    <mergeCell ref="A6:C6"/>
    <mergeCell ref="A7:C7"/>
    <mergeCell ref="A24:B24"/>
    <mergeCell ref="A25:B25"/>
    <mergeCell ref="A11:C11"/>
    <mergeCell ref="A28:B28"/>
    <mergeCell ref="A29:B29"/>
    <mergeCell ref="A20:B20"/>
    <mergeCell ref="A21:B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9</vt:i4>
      </vt:variant>
      <vt:variant>
        <vt:lpstr>Charts</vt:lpstr>
      </vt:variant>
      <vt:variant>
        <vt:i4>7</vt:i4>
      </vt:variant>
      <vt:variant>
        <vt:lpstr>Named Ranges</vt:lpstr>
      </vt:variant>
      <vt:variant>
        <vt:i4>318</vt:i4>
      </vt:variant>
    </vt:vector>
  </HeadingPairs>
  <TitlesOfParts>
    <vt:vector size="334" baseType="lpstr">
      <vt:lpstr>UCAV</vt:lpstr>
      <vt:lpstr>Mission</vt:lpstr>
      <vt:lpstr>Baseline</vt:lpstr>
      <vt:lpstr>Aerodynamics</vt:lpstr>
      <vt:lpstr>Performance</vt:lpstr>
      <vt:lpstr>Acceleration</vt:lpstr>
      <vt:lpstr>Wt &amp; Balance</vt:lpstr>
      <vt:lpstr>Propulsion</vt:lpstr>
      <vt:lpstr>Atmosphere</vt:lpstr>
      <vt:lpstr>ToW vs WoS(MIL)</vt:lpstr>
      <vt:lpstr>ToW vs WoS (CIVIL)</vt:lpstr>
      <vt:lpstr>Struct. Wt. Pie</vt:lpstr>
      <vt:lpstr>Drag Polars</vt:lpstr>
      <vt:lpstr>Drag Pie Chart</vt:lpstr>
      <vt:lpstr>Drag Bar Chart</vt:lpstr>
      <vt:lpstr>Balance Plot</vt:lpstr>
      <vt:lpstr>\f</vt:lpstr>
      <vt:lpstr>\g</vt:lpstr>
      <vt:lpstr>_ALT1</vt:lpstr>
      <vt:lpstr>_ALT2</vt:lpstr>
      <vt:lpstr>_ALT3</vt:lpstr>
      <vt:lpstr>_ALT4</vt:lpstr>
      <vt:lpstr>_ALT5</vt:lpstr>
      <vt:lpstr>_CDO1</vt:lpstr>
      <vt:lpstr>_CDO2</vt:lpstr>
      <vt:lpstr>_CDO3</vt:lpstr>
      <vt:lpstr>_CDO4</vt:lpstr>
      <vt:lpstr>_CDO5</vt:lpstr>
      <vt:lpstr>_GEE1</vt:lpstr>
      <vt:lpstr>_GEE2</vt:lpstr>
      <vt:lpstr>_GEE3</vt:lpstr>
      <vt:lpstr>_GEE4</vt:lpstr>
      <vt:lpstr>_GEE5</vt:lpstr>
      <vt:lpstr>_KAY1</vt:lpstr>
      <vt:lpstr>_KAY2</vt:lpstr>
      <vt:lpstr>_KAY3</vt:lpstr>
      <vt:lpstr>_KAY4</vt:lpstr>
      <vt:lpstr>_KAY5</vt:lpstr>
      <vt:lpstr>_KF1</vt:lpstr>
      <vt:lpstr>_KF2</vt:lpstr>
      <vt:lpstr>_KF3</vt:lpstr>
      <vt:lpstr>_QUE1</vt:lpstr>
      <vt:lpstr>_QUE2</vt:lpstr>
      <vt:lpstr>_QUE3</vt:lpstr>
      <vt:lpstr>_QUE4</vt:lpstr>
      <vt:lpstr>_QUE5</vt:lpstr>
      <vt:lpstr>_SEP1</vt:lpstr>
      <vt:lpstr>_SEP2</vt:lpstr>
      <vt:lpstr>_SEP3</vt:lpstr>
      <vt:lpstr>_SEP4</vt:lpstr>
      <vt:lpstr>_SEP5</vt:lpstr>
      <vt:lpstr>_VEE1</vt:lpstr>
      <vt:lpstr>_VEE2</vt:lpstr>
      <vt:lpstr>_VEE3</vt:lpstr>
      <vt:lpstr>_VEE4</vt:lpstr>
      <vt:lpstr>_VEE5</vt:lpstr>
      <vt:lpstr>A</vt:lpstr>
      <vt:lpstr>AERODYNAMICS</vt:lpstr>
      <vt:lpstr>AFUSE</vt:lpstr>
      <vt:lpstr>AHTSOB</vt:lpstr>
      <vt:lpstr>ANAC</vt:lpstr>
      <vt:lpstr>ANOSE</vt:lpstr>
      <vt:lpstr>APARA</vt:lpstr>
      <vt:lpstr>APYLON</vt:lpstr>
      <vt:lpstr>AR</vt:lpstr>
      <vt:lpstr>ARHTAIL</vt:lpstr>
      <vt:lpstr>ARVTAIL</vt:lpstr>
      <vt:lpstr>ATAIL</vt:lpstr>
      <vt:lpstr>AVTSOB</vt:lpstr>
      <vt:lpstr>AWINGSOB</vt:lpstr>
      <vt:lpstr>AXSNAC</vt:lpstr>
      <vt:lpstr>B</vt:lpstr>
      <vt:lpstr>BALANCE</vt:lpstr>
      <vt:lpstr>BASELINE</vt:lpstr>
      <vt:lpstr>BHT</vt:lpstr>
      <vt:lpstr>BURIED</vt:lpstr>
      <vt:lpstr>BURNER</vt:lpstr>
      <vt:lpstr>BVT</vt:lpstr>
      <vt:lpstr>CARGFUSE</vt:lpstr>
      <vt:lpstr>CDO</vt:lpstr>
      <vt:lpstr>CDOCALC</vt:lpstr>
      <vt:lpstr>CDOSUB</vt:lpstr>
      <vt:lpstr>CDOSUP</vt:lpstr>
      <vt:lpstr>CLMAXCOM</vt:lpstr>
      <vt:lpstr>CLMAXLD</vt:lpstr>
      <vt:lpstr>CLMAXTO</vt:lpstr>
      <vt:lpstr>COMRATIO</vt:lpstr>
      <vt:lpstr>COMWEIT</vt:lpstr>
      <vt:lpstr>CREW</vt:lpstr>
      <vt:lpstr>CROOT</vt:lpstr>
      <vt:lpstr>CROOTHT</vt:lpstr>
      <vt:lpstr>CROOTVT</vt:lpstr>
      <vt:lpstr>CSOB</vt:lpstr>
      <vt:lpstr>CTIP</vt:lpstr>
      <vt:lpstr>CURVE</vt:lpstr>
      <vt:lpstr>DELCD0LD</vt:lpstr>
      <vt:lpstr>DELCD0TO</vt:lpstr>
      <vt:lpstr>DELCDOGR</vt:lpstr>
      <vt:lpstr>DELCDOLD</vt:lpstr>
      <vt:lpstr>DELCDOTO</vt:lpstr>
      <vt:lpstr>DELHE</vt:lpstr>
      <vt:lpstr>DELHEAC2</vt:lpstr>
      <vt:lpstr>DELHEACN</vt:lpstr>
      <vt:lpstr>DELHECL</vt:lpstr>
      <vt:lpstr>DELTAT</vt:lpstr>
      <vt:lpstr>DELTOGW</vt:lpstr>
      <vt:lpstr>DEQUIV</vt:lpstr>
      <vt:lpstr>DEXHAUST</vt:lpstr>
      <vt:lpstr>DNAC</vt:lpstr>
      <vt:lpstr>DRAG</vt:lpstr>
      <vt:lpstr>DRAG_POLARS</vt:lpstr>
      <vt:lpstr>E</vt:lpstr>
      <vt:lpstr>ENGTYPE</vt:lpstr>
      <vt:lpstr>ETURNS</vt:lpstr>
      <vt:lpstr>EWD</vt:lpstr>
      <vt:lpstr>EXPEND</vt:lpstr>
      <vt:lpstr>F</vt:lpstr>
      <vt:lpstr>FIELDALT</vt:lpstr>
      <vt:lpstr>FIXSTAB</vt:lpstr>
      <vt:lpstr>FNREF</vt:lpstr>
      <vt:lpstr>FUELDESC</vt:lpstr>
      <vt:lpstr>FUELLAND</vt:lpstr>
      <vt:lpstr>FUELRES</vt:lpstr>
      <vt:lpstr>FUSEAREA</vt:lpstr>
      <vt:lpstr>FUSEXS</vt:lpstr>
      <vt:lpstr>G</vt:lpstr>
      <vt:lpstr>GAMMA</vt:lpstr>
      <vt:lpstr>GD.OEW</vt:lpstr>
      <vt:lpstr>GROSFRON</vt:lpstr>
      <vt:lpstr>GSUP1</vt:lpstr>
      <vt:lpstr>HAVEACCN</vt:lpstr>
      <vt:lpstr>HAVEACN2</vt:lpstr>
      <vt:lpstr>HAVECL</vt:lpstr>
      <vt:lpstr>HCRUISE</vt:lpstr>
      <vt:lpstr>HEND</vt:lpstr>
      <vt:lpstr>HENDCLB</vt:lpstr>
      <vt:lpstr>HFIN</vt:lpstr>
      <vt:lpstr>HFUSE</vt:lpstr>
      <vt:lpstr>HINIT</vt:lpstr>
      <vt:lpstr>HSTART</vt:lpstr>
      <vt:lpstr>HTRATIO</vt:lpstr>
      <vt:lpstr>HVT</vt:lpstr>
      <vt:lpstr>INFUSE</vt:lpstr>
      <vt:lpstr>KEASMAXC</vt:lpstr>
      <vt:lpstr>KEASMAXD</vt:lpstr>
      <vt:lpstr>KFSP</vt:lpstr>
      <vt:lpstr>KH</vt:lpstr>
      <vt:lpstr>KINL</vt:lpstr>
      <vt:lpstr>KPIV</vt:lpstr>
      <vt:lpstr>KSUB</vt:lpstr>
      <vt:lpstr>KSUP</vt:lpstr>
      <vt:lpstr>KV</vt:lpstr>
      <vt:lpstr>L</vt:lpstr>
      <vt:lpstr>LAMBDA</vt:lpstr>
      <vt:lpstr>LAMBDA2</vt:lpstr>
      <vt:lpstr>LAMBDA2H</vt:lpstr>
      <vt:lpstr>LAMBDAHT</vt:lpstr>
      <vt:lpstr>LAMTAIL</vt:lpstr>
      <vt:lpstr>LANDWEIT</vt:lpstr>
      <vt:lpstr>LAPSE</vt:lpstr>
      <vt:lpstr>LDUCT</vt:lpstr>
      <vt:lpstr>LEMAC</vt:lpstr>
      <vt:lpstr>LEMACWCG</vt:lpstr>
      <vt:lpstr>LESWEEP</vt:lpstr>
      <vt:lpstr>LFUSE</vt:lpstr>
      <vt:lpstr>LHT</vt:lpstr>
      <vt:lpstr>LNAC</vt:lpstr>
      <vt:lpstr>LNOSE</vt:lpstr>
      <vt:lpstr>LODACCN</vt:lpstr>
      <vt:lpstr>LODACN2</vt:lpstr>
      <vt:lpstr>LODCLIMB</vt:lpstr>
      <vt:lpstr>LODMAXSB</vt:lpstr>
      <vt:lpstr>LODMAXSP</vt:lpstr>
      <vt:lpstr>LODSUBCR</vt:lpstr>
      <vt:lpstr>LODSUPCR</vt:lpstr>
      <vt:lpstr>LOITALT</vt:lpstr>
      <vt:lpstr>LOITEND</vt:lpstr>
      <vt:lpstr>LOITMACH</vt:lpstr>
      <vt:lpstr>LORATIO</vt:lpstr>
      <vt:lpstr>LPARA</vt:lpstr>
      <vt:lpstr>LVT</vt:lpstr>
      <vt:lpstr>MAC</vt:lpstr>
      <vt:lpstr>MACH1</vt:lpstr>
      <vt:lpstr>MACH2</vt:lpstr>
      <vt:lpstr>MACH3</vt:lpstr>
      <vt:lpstr>MACH4</vt:lpstr>
      <vt:lpstr>MACH5</vt:lpstr>
      <vt:lpstr>MACHT</vt:lpstr>
      <vt:lpstr>MACIN</vt:lpstr>
      <vt:lpstr>MACVT</vt:lpstr>
      <vt:lpstr>MAXG</vt:lpstr>
      <vt:lpstr>MCRUISE</vt:lpstr>
      <vt:lpstr>MEND</vt:lpstr>
      <vt:lpstr>MENDCLB</vt:lpstr>
      <vt:lpstr>MFIN</vt:lpstr>
      <vt:lpstr>MINIT</vt:lpstr>
      <vt:lpstr>MLGFUSE</vt:lpstr>
      <vt:lpstr>MMAX</vt:lpstr>
      <vt:lpstr>MSTART</vt:lpstr>
      <vt:lpstr>MSUPER</vt:lpstr>
      <vt:lpstr>N</vt:lpstr>
      <vt:lpstr>NACWET</vt:lpstr>
      <vt:lpstr>NG</vt:lpstr>
      <vt:lpstr>NGREQD</vt:lpstr>
      <vt:lpstr>NINL</vt:lpstr>
      <vt:lpstr>NNAC</vt:lpstr>
      <vt:lpstr>NTURNS</vt:lpstr>
      <vt:lpstr>NULT</vt:lpstr>
      <vt:lpstr>PAYLOAD</vt:lpstr>
      <vt:lpstr>PERFORMANCE</vt:lpstr>
      <vt:lpstr>PFUSE</vt:lpstr>
      <vt:lpstr>PNOSE</vt:lpstr>
      <vt:lpstr>POINTER2</vt:lpstr>
      <vt:lpstr>UCAV!Print_Area</vt:lpstr>
      <vt:lpstr>UCAV!Print_Area_MI</vt:lpstr>
      <vt:lpstr>PROPULSION</vt:lpstr>
      <vt:lpstr>PSIDOT</vt:lpstr>
      <vt:lpstr>PSL</vt:lpstr>
      <vt:lpstr>PTAIL</vt:lpstr>
      <vt:lpstr>QAVEACCN</vt:lpstr>
      <vt:lpstr>QAVEACN2</vt:lpstr>
      <vt:lpstr>QAVECL</vt:lpstr>
      <vt:lpstr>QCOMBAT</vt:lpstr>
      <vt:lpstr>QMAX</vt:lpstr>
      <vt:lpstr>R_</vt:lpstr>
      <vt:lpstr>REPERFT</vt:lpstr>
      <vt:lpstr>RFFUSE</vt:lpstr>
      <vt:lpstr>RFGEAR</vt:lpstr>
      <vt:lpstr>RFHORZT</vt:lpstr>
      <vt:lpstr>RFNAC</vt:lpstr>
      <vt:lpstr>RFVERTT</vt:lpstr>
      <vt:lpstr>RFWING</vt:lpstr>
      <vt:lpstr>RLS</vt:lpstr>
      <vt:lpstr>RO0</vt:lpstr>
      <vt:lpstr>ROSL</vt:lpstr>
      <vt:lpstr>SEP</vt:lpstr>
      <vt:lpstr>SFCCL</vt:lpstr>
      <vt:lpstr>SFCCOMB</vt:lpstr>
      <vt:lpstr>SFCCR</vt:lpstr>
      <vt:lpstr>SFCLO</vt:lpstr>
      <vt:lpstr>SFCSUPER</vt:lpstr>
      <vt:lpstr>SFCTO</vt:lpstr>
      <vt:lpstr>SFUSE</vt:lpstr>
      <vt:lpstr>SHT</vt:lpstr>
      <vt:lpstr>SHTWET</vt:lpstr>
      <vt:lpstr>SIGMATO</vt:lpstr>
      <vt:lpstr>SPAN</vt:lpstr>
      <vt:lpstr>SPANEFF</vt:lpstr>
      <vt:lpstr>SR</vt:lpstr>
      <vt:lpstr>SREF</vt:lpstr>
      <vt:lpstr>SUBDIST</vt:lpstr>
      <vt:lpstr>SUPALT</vt:lpstr>
      <vt:lpstr>SUPDIST</vt:lpstr>
      <vt:lpstr>SVT</vt:lpstr>
      <vt:lpstr>SVTWET</vt:lpstr>
      <vt:lpstr>SWEEP2</vt:lpstr>
      <vt:lpstr>SWETWING</vt:lpstr>
      <vt:lpstr>SWITCH1</vt:lpstr>
      <vt:lpstr>SWITCH10</vt:lpstr>
      <vt:lpstr>SWITCH11</vt:lpstr>
      <vt:lpstr>SWITCH12</vt:lpstr>
      <vt:lpstr>SWITCH13</vt:lpstr>
      <vt:lpstr>SWITCH2</vt:lpstr>
      <vt:lpstr>SWITCH3</vt:lpstr>
      <vt:lpstr>SWITCH4</vt:lpstr>
      <vt:lpstr>SWITCH5</vt:lpstr>
      <vt:lpstr>SWITCH6</vt:lpstr>
      <vt:lpstr>SWITCH7</vt:lpstr>
      <vt:lpstr>SWITCH8</vt:lpstr>
      <vt:lpstr>SWITCH9</vt:lpstr>
      <vt:lpstr>T0</vt:lpstr>
      <vt:lpstr>TAILSWP</vt:lpstr>
      <vt:lpstr>TEMAC</vt:lpstr>
      <vt:lpstr>TLAPSE</vt:lpstr>
      <vt:lpstr>TOACAPT</vt:lpstr>
      <vt:lpstr>TOANAC</vt:lpstr>
      <vt:lpstr>TOBURN</vt:lpstr>
      <vt:lpstr>TOC</vt:lpstr>
      <vt:lpstr>TOCLOC</vt:lpstr>
      <vt:lpstr>TOCROOT</vt:lpstr>
      <vt:lpstr>TOCROOTHT</vt:lpstr>
      <vt:lpstr>TOCROOTVT</vt:lpstr>
      <vt:lpstr>TOCRROOTVT</vt:lpstr>
      <vt:lpstr>TODIST</vt:lpstr>
      <vt:lpstr>TOGW</vt:lpstr>
      <vt:lpstr>TOLNAC</vt:lpstr>
      <vt:lpstr>TOR.OEW</vt:lpstr>
      <vt:lpstr>TORREF4</vt:lpstr>
      <vt:lpstr>TOTREF1</vt:lpstr>
      <vt:lpstr>TOTREF2</vt:lpstr>
      <vt:lpstr>TOTREF3</vt:lpstr>
      <vt:lpstr>TOTREF5</vt:lpstr>
      <vt:lpstr>TOW</vt:lpstr>
      <vt:lpstr>TOWACCN</vt:lpstr>
      <vt:lpstr>TOWACN2</vt:lpstr>
      <vt:lpstr>TOWCLIMB</vt:lpstr>
      <vt:lpstr>TOWCOMB</vt:lpstr>
      <vt:lpstr>TOWFAR</vt:lpstr>
      <vt:lpstr>TOWMAX</vt:lpstr>
      <vt:lpstr>TOWRANG2</vt:lpstr>
      <vt:lpstr>TOWRANGE</vt:lpstr>
      <vt:lpstr>TOWREQD</vt:lpstr>
      <vt:lpstr>TRATIO</vt:lpstr>
      <vt:lpstr>TROOTHT</vt:lpstr>
      <vt:lpstr>TROOTVT</vt:lpstr>
      <vt:lpstr>TSOB</vt:lpstr>
      <vt:lpstr>TURN2</vt:lpstr>
      <vt:lpstr>VARSWP</vt:lpstr>
      <vt:lpstr>VCOMBEND</vt:lpstr>
      <vt:lpstr>VFIN</vt:lpstr>
      <vt:lpstr>VHBAR</vt:lpstr>
      <vt:lpstr>VINIT</vt:lpstr>
      <vt:lpstr>VSUPER</vt:lpstr>
      <vt:lpstr>VSUPER2</vt:lpstr>
      <vt:lpstr>VVBAR</vt:lpstr>
      <vt:lpstr>WEAPWEIT</vt:lpstr>
      <vt:lpstr>WEITDIFF</vt:lpstr>
      <vt:lpstr>WEITDIFF2</vt:lpstr>
      <vt:lpstr>WFIXED</vt:lpstr>
      <vt:lpstr>WFUSE</vt:lpstr>
      <vt:lpstr>WOS</vt:lpstr>
      <vt:lpstr>WOSACCN</vt:lpstr>
      <vt:lpstr>WOSACN2</vt:lpstr>
      <vt:lpstr>WOSCOMB</vt:lpstr>
      <vt:lpstr>WOSDIFF</vt:lpstr>
      <vt:lpstr>WOSLAND</vt:lpstr>
      <vt:lpstr>WOSREQD</vt:lpstr>
      <vt:lpstr>WOWREF1</vt:lpstr>
      <vt:lpstr>WOWREF2</vt:lpstr>
      <vt:lpstr>WOWREF3</vt:lpstr>
      <vt:lpstr>WOWREF4</vt:lpstr>
      <vt:lpstr>WOWREF5</vt:lpstr>
      <vt:lpstr>WPAY</vt:lpstr>
      <vt:lpstr>XSArea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Hays</dc:creator>
  <cp:lastModifiedBy>Tony Hays</cp:lastModifiedBy>
  <dcterms:created xsi:type="dcterms:W3CDTF">2008-03-04T16:48:20Z</dcterms:created>
  <dcterms:modified xsi:type="dcterms:W3CDTF">2013-12-04T19:18:50Z</dcterms:modified>
</cp:coreProperties>
</file>