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ony Hays\Aircraft Design\Spreadsheets\Sizing only\"/>
    </mc:Choice>
  </mc:AlternateContent>
  <bookViews>
    <workbookView xWindow="24891" yWindow="43" windowWidth="9120" windowHeight="3274"/>
  </bookViews>
  <sheets>
    <sheet name="Design range" sheetId="2" r:id="rId1"/>
    <sheet name="Definitions" sheetId="1" r:id="rId2"/>
    <sheet name="Off-design range" sheetId="3" r:id="rId3"/>
    <sheet name="Max range" sheetId="4" r:id="rId4"/>
    <sheet name="Empty Weight =n" sheetId="5" r:id="rId5"/>
  </sheets>
  <definedNames>
    <definedName name="a">'Design range'!$C$13</definedName>
    <definedName name="Cloiter">'Design range'!$C$22</definedName>
    <definedName name="CoeffA">'Design range'!$G$42</definedName>
    <definedName name="CoeffB">'Design range'!$G$43</definedName>
    <definedName name="cruiserange">'Off-design range'!$C$16</definedName>
    <definedName name="E">'Design range'!$C$19</definedName>
    <definedName name="EW_available">'Off-design range'!$D$46</definedName>
    <definedName name="EW_available_maxrange">'Max range'!$D$46</definedName>
    <definedName name="LoD">'Design range'!$C$20</definedName>
    <definedName name="maxrange">'Max range'!$C$16</definedName>
    <definedName name="Mcruise">'Design range'!$C$12</definedName>
    <definedName name="MTOGW">'Design range'!$D$27</definedName>
    <definedName name="MTOGW_reduction">'Max range'!$G$20</definedName>
    <definedName name="nopax">'Max range'!$C$15</definedName>
    <definedName name="npax">'Design range'!$C$15</definedName>
    <definedName name="numpax">'Off-design range'!$C$15</definedName>
    <definedName name="offdespayload">'Off-design range'!$F$17</definedName>
    <definedName name="Payload">'Design range'!$G$17</definedName>
    <definedName name="range">'Design range'!$C$16</definedName>
    <definedName name="sfc">'Design range'!$C$21</definedName>
    <definedName name="solver_adj" localSheetId="0" hidden="1">'Design range'!$D$27</definedName>
    <definedName name="solver_adj" localSheetId="3" hidden="1">'Max range'!$C$16</definedName>
    <definedName name="solver_adj" localSheetId="2" hidden="1">'Off-design range'!$C$16</definedName>
    <definedName name="solver_cvg" localSheetId="0" hidden="1">0.0001</definedName>
    <definedName name="solver_cvg" localSheetId="3" hidden="1">0.0001</definedName>
    <definedName name="solver_cvg" localSheetId="2" hidden="1">0.0001</definedName>
    <definedName name="solver_drv" localSheetId="0" hidden="1">1</definedName>
    <definedName name="solver_drv" localSheetId="3" hidden="1">1</definedName>
    <definedName name="solver_drv" localSheetId="2" hidden="1">1</definedName>
    <definedName name="solver_eng" localSheetId="0" hidden="1">1</definedName>
    <definedName name="solver_eng" localSheetId="3" hidden="1">1</definedName>
    <definedName name="solver_eng" localSheetId="2" hidden="1">1</definedName>
    <definedName name="solver_est" localSheetId="0" hidden="1">1</definedName>
    <definedName name="solver_est" localSheetId="3" hidden="1">1</definedName>
    <definedName name="solver_est" localSheetId="2" hidden="1">1</definedName>
    <definedName name="solver_itr" localSheetId="0" hidden="1">100</definedName>
    <definedName name="solver_itr" localSheetId="3" hidden="1">100</definedName>
    <definedName name="solver_itr" localSheetId="2" hidden="1">100</definedName>
    <definedName name="solver_lin" localSheetId="0" hidden="1">2</definedName>
    <definedName name="solver_lin" localSheetId="3" hidden="1">2</definedName>
    <definedName name="solver_lin" localSheetId="2" hidden="1">2</definedName>
    <definedName name="solver_mip" localSheetId="0" hidden="1">2147483647</definedName>
    <definedName name="solver_mip" localSheetId="3" hidden="1">2147483647</definedName>
    <definedName name="solver_mip" localSheetId="2" hidden="1">2147483647</definedName>
    <definedName name="solver_mni" localSheetId="0" hidden="1">30</definedName>
    <definedName name="solver_mni" localSheetId="3" hidden="1">30</definedName>
    <definedName name="solver_mni" localSheetId="2" hidden="1">30</definedName>
    <definedName name="solver_mrt" localSheetId="0" hidden="1">0.075</definedName>
    <definedName name="solver_mrt" localSheetId="3" hidden="1">0.075</definedName>
    <definedName name="solver_mrt" localSheetId="2" hidden="1">0.075</definedName>
    <definedName name="solver_msl" localSheetId="0" hidden="1">2</definedName>
    <definedName name="solver_msl" localSheetId="3" hidden="1">2</definedName>
    <definedName name="solver_msl" localSheetId="2" hidden="1">2</definedName>
    <definedName name="solver_neg" localSheetId="0" hidden="1">2</definedName>
    <definedName name="solver_neg" localSheetId="3" hidden="1">2</definedName>
    <definedName name="solver_neg" localSheetId="2" hidden="1">2</definedName>
    <definedName name="solver_nod" localSheetId="0" hidden="1">2147483647</definedName>
    <definedName name="solver_nod" localSheetId="3" hidden="1">2147483647</definedName>
    <definedName name="solver_nod" localSheetId="2" hidden="1">2147483647</definedName>
    <definedName name="solver_num" localSheetId="0" hidden="1">0</definedName>
    <definedName name="solver_num" localSheetId="3" hidden="1">0</definedName>
    <definedName name="solver_num" localSheetId="2" hidden="1">0</definedName>
    <definedName name="solver_nwt" localSheetId="0" hidden="1">1</definedName>
    <definedName name="solver_nwt" localSheetId="3" hidden="1">1</definedName>
    <definedName name="solver_nwt" localSheetId="2" hidden="1">1</definedName>
    <definedName name="solver_opt" localSheetId="0" hidden="1">'Design range'!$D$49</definedName>
    <definedName name="solver_opt" localSheetId="3" hidden="1">'Max range'!$D$46</definedName>
    <definedName name="solver_opt" localSheetId="2" hidden="1">'Off-design range'!$D$46</definedName>
    <definedName name="solver_pre" localSheetId="0" hidden="1">0.000001</definedName>
    <definedName name="solver_pre" localSheetId="3" hidden="1">0.000001</definedName>
    <definedName name="solver_pre" localSheetId="2" hidden="1">0.000001</definedName>
    <definedName name="solver_rbv" localSheetId="0" hidden="1">1</definedName>
    <definedName name="solver_rbv" localSheetId="3" hidden="1">1</definedName>
    <definedName name="solver_rbv" localSheetId="2" hidden="1">1</definedName>
    <definedName name="solver_rlx" localSheetId="0" hidden="1">1</definedName>
    <definedName name="solver_rlx" localSheetId="3" hidden="1">1</definedName>
    <definedName name="solver_rlx" localSheetId="2" hidden="1">1</definedName>
    <definedName name="solver_rsd" localSheetId="0" hidden="1">0</definedName>
    <definedName name="solver_rsd" localSheetId="3" hidden="1">0</definedName>
    <definedName name="solver_rsd" localSheetId="2" hidden="1">0</definedName>
    <definedName name="solver_scl" localSheetId="0" hidden="1">2</definedName>
    <definedName name="solver_scl" localSheetId="3" hidden="1">2</definedName>
    <definedName name="solver_scl" localSheetId="2" hidden="1">2</definedName>
    <definedName name="solver_sho" localSheetId="0" hidden="1">2</definedName>
    <definedName name="solver_sho" localSheetId="3" hidden="1">2</definedName>
    <definedName name="solver_sho" localSheetId="2" hidden="1">2</definedName>
    <definedName name="solver_ssz" localSheetId="0" hidden="1">100</definedName>
    <definedName name="solver_ssz" localSheetId="3" hidden="1">100</definedName>
    <definedName name="solver_ssz" localSheetId="2" hidden="1">100</definedName>
    <definedName name="solver_tim" localSheetId="0" hidden="1">100</definedName>
    <definedName name="solver_tim" localSheetId="3" hidden="1">100</definedName>
    <definedName name="solver_tim" localSheetId="2" hidden="1">100</definedName>
    <definedName name="solver_tol" localSheetId="0" hidden="1">0.05</definedName>
    <definedName name="solver_tol" localSheetId="3" hidden="1">0.05</definedName>
    <definedName name="solver_tol" localSheetId="2" hidden="1">0.05</definedName>
    <definedName name="solver_typ" localSheetId="0" hidden="1">3</definedName>
    <definedName name="solver_typ" localSheetId="3" hidden="1">3</definedName>
    <definedName name="solver_typ" localSheetId="2" hidden="1">3</definedName>
    <definedName name="solver_val" localSheetId="0" hidden="1">0</definedName>
    <definedName name="solver_val" localSheetId="3" hidden="1">361566</definedName>
    <definedName name="solver_val" localSheetId="2" hidden="1">361566</definedName>
    <definedName name="solver_ver" localSheetId="0" hidden="1">3</definedName>
    <definedName name="solver_ver" localSheetId="3" hidden="1">3</definedName>
    <definedName name="solver_ver" localSheetId="2" hidden="1">3</definedName>
    <definedName name="TOGW">'Design range'!$D$27</definedName>
    <definedName name="WEITDIFF">'Design range'!$D$49</definedName>
    <definedName name="Wempty1">'Empty Weight =n'!$C$12</definedName>
    <definedName name="Wempty2">'Empty Weight =n'!$C$15</definedName>
    <definedName name="Wtakeoff1">'Empty Weight =n'!$C$13</definedName>
    <definedName name="Wtakeoff2">'Empty Weight =n'!$C$16</definedName>
    <definedName name="ZFL">'Design range'!$D$44</definedName>
  </definedNames>
  <calcPr calcId="152511"/>
</workbook>
</file>

<file path=xl/calcChain.xml><?xml version="1.0" encoding="utf-8"?>
<calcChain xmlns="http://schemas.openxmlformats.org/spreadsheetml/2006/main">
  <c r="D26" i="4" l="1"/>
  <c r="G20" i="4"/>
  <c r="D26" i="3"/>
  <c r="C19" i="5" l="1"/>
  <c r="C20" i="5" s="1"/>
  <c r="C43" i="4" l="1"/>
  <c r="C42" i="4"/>
  <c r="C40" i="4"/>
  <c r="C38" i="4"/>
  <c r="C37" i="4"/>
  <c r="C35" i="4"/>
  <c r="C34" i="4"/>
  <c r="C33" i="4"/>
  <c r="C32" i="4"/>
  <c r="C30" i="4"/>
  <c r="C29" i="4"/>
  <c r="C28" i="4"/>
  <c r="C27" i="4"/>
  <c r="C43" i="3"/>
  <c r="C42" i="3"/>
  <c r="C40" i="3"/>
  <c r="C38" i="3"/>
  <c r="C37" i="3"/>
  <c r="C35" i="3"/>
  <c r="C34" i="3"/>
  <c r="C33" i="3"/>
  <c r="C32" i="3"/>
  <c r="C30" i="3"/>
  <c r="C29" i="3"/>
  <c r="C28" i="3"/>
  <c r="C27" i="3"/>
  <c r="C22" i="2"/>
  <c r="C21" i="4"/>
  <c r="C20" i="4"/>
  <c r="C19" i="4"/>
  <c r="C18" i="4"/>
  <c r="C21" i="3"/>
  <c r="C20" i="3"/>
  <c r="C19" i="3"/>
  <c r="C18" i="3"/>
  <c r="G15" i="4"/>
  <c r="G14" i="4"/>
  <c r="G13" i="4"/>
  <c r="G12" i="4"/>
  <c r="G11" i="4"/>
  <c r="C14" i="4"/>
  <c r="C13" i="4"/>
  <c r="C12" i="4"/>
  <c r="C11" i="4"/>
  <c r="F14" i="3"/>
  <c r="F13" i="3"/>
  <c r="F12" i="3"/>
  <c r="F11" i="3"/>
  <c r="C14" i="3"/>
  <c r="C13" i="3"/>
  <c r="C12" i="3"/>
  <c r="C11" i="3"/>
  <c r="F16" i="3" l="1"/>
  <c r="C31" i="3"/>
  <c r="C31" i="4" l="1"/>
  <c r="C40" i="2"/>
  <c r="C32" i="2"/>
  <c r="G16" i="4" l="1"/>
  <c r="F15" i="3"/>
  <c r="G15" i="2"/>
  <c r="F17" i="3" l="1"/>
  <c r="G17" i="4"/>
  <c r="C32" i="5"/>
  <c r="C29" i="5"/>
  <c r="C24" i="5" l="1"/>
  <c r="C22" i="4"/>
  <c r="C17" i="4"/>
  <c r="C39" i="4"/>
  <c r="C17" i="3"/>
  <c r="C36" i="3" s="1"/>
  <c r="C41" i="3"/>
  <c r="D27" i="3"/>
  <c r="D28" i="3" s="1"/>
  <c r="D29" i="3" s="1"/>
  <c r="D30" i="3" s="1"/>
  <c r="C22" i="3"/>
  <c r="C39" i="3"/>
  <c r="G16" i="2"/>
  <c r="D28" i="2"/>
  <c r="D29" i="2" s="1"/>
  <c r="D30" i="2" s="1"/>
  <c r="D31" i="2" s="1"/>
  <c r="C42" i="2"/>
  <c r="C14" i="2"/>
  <c r="C13" i="2" s="1"/>
  <c r="C41" i="4"/>
  <c r="C17" i="2"/>
  <c r="C37" i="2" s="1"/>
  <c r="C36" i="4" l="1"/>
  <c r="G17" i="2"/>
  <c r="D27" i="4" s="1"/>
  <c r="D28" i="4" s="1"/>
  <c r="D29" i="4" s="1"/>
  <c r="D30" i="4" s="1"/>
  <c r="D31" i="4" s="1"/>
  <c r="D32" i="4" s="1"/>
  <c r="D33" i="4" s="1"/>
  <c r="D34" i="4" s="1"/>
  <c r="D35" i="4" s="1"/>
  <c r="D31" i="3"/>
  <c r="D32" i="3" s="1"/>
  <c r="D33" i="3" s="1"/>
  <c r="D34" i="3" s="1"/>
  <c r="D35" i="3" s="1"/>
  <c r="D36" i="4" l="1"/>
  <c r="D37" i="4" s="1"/>
  <c r="D38" i="4" s="1"/>
  <c r="D39" i="4" s="1"/>
  <c r="D40" i="4" s="1"/>
  <c r="D41" i="4" s="1"/>
  <c r="D42" i="4" s="1"/>
  <c r="D43" i="4" s="1"/>
  <c r="D46" i="4" s="1"/>
  <c r="C45" i="4"/>
  <c r="G31" i="3"/>
  <c r="D36" i="3"/>
  <c r="D37" i="3" s="1"/>
  <c r="D38" i="3" s="1"/>
  <c r="D39" i="3" s="1"/>
  <c r="D40" i="3" s="1"/>
  <c r="D41" i="3" s="1"/>
  <c r="D42" i="3" s="1"/>
  <c r="D43" i="3" s="1"/>
  <c r="D46" i="3" s="1"/>
  <c r="C45" i="3"/>
  <c r="C46" i="2"/>
  <c r="D32" i="2"/>
  <c r="D33" i="2" s="1"/>
  <c r="D34" i="2" s="1"/>
  <c r="D35" i="2" s="1"/>
  <c r="D36" i="2" s="1"/>
  <c r="D37" i="2" s="1"/>
  <c r="D38" i="2" s="1"/>
  <c r="D39" i="2" s="1"/>
  <c r="D40" i="2" s="1"/>
  <c r="D41" i="2" s="1"/>
  <c r="D42" i="2" s="1"/>
  <c r="D43" i="2" s="1"/>
  <c r="D44" i="2" s="1"/>
  <c r="D47" i="2" s="1"/>
  <c r="H12" i="5" l="1"/>
  <c r="H17" i="5"/>
  <c r="I17" i="5" s="1"/>
  <c r="H16" i="5"/>
  <c r="I16" i="5" s="1"/>
  <c r="H15" i="5"/>
  <c r="I15" i="5" s="1"/>
  <c r="H14" i="5"/>
  <c r="I14" i="5" s="1"/>
  <c r="H13" i="5"/>
  <c r="I13" i="5" s="1"/>
  <c r="H18" i="5" l="1"/>
  <c r="I18" i="5" s="1"/>
  <c r="I12" i="5"/>
  <c r="I19" i="5" l="1"/>
  <c r="C31" i="5" s="1"/>
  <c r="H19" i="5"/>
  <c r="C28" i="5" l="1"/>
  <c r="C35" i="5" s="1"/>
  <c r="G43" i="2" s="1"/>
  <c r="G42" i="4" l="1"/>
  <c r="G42" i="3"/>
  <c r="C36" i="5"/>
  <c r="G42" i="2" s="1"/>
  <c r="G46" i="4" l="1"/>
  <c r="D48" i="4" s="1"/>
  <c r="G47" i="2"/>
  <c r="D49" i="2" s="1"/>
  <c r="G41" i="3"/>
  <c r="G41" i="4"/>
  <c r="G46" i="3"/>
  <c r="D48" i="3" s="1"/>
</calcChain>
</file>

<file path=xl/comments1.xml><?xml version="1.0" encoding="utf-8"?>
<comments xmlns="http://schemas.openxmlformats.org/spreadsheetml/2006/main">
  <authors>
    <author>Tony Hays</author>
  </authors>
  <commentList>
    <comment ref="G12" authorId="0" shapeId="0">
      <text>
        <r>
          <rPr>
            <b/>
            <sz val="9"/>
            <color indexed="81"/>
            <rFont val="Tahoma"/>
            <family val="2"/>
          </rPr>
          <t xml:space="preserve">Tony Hays:  </t>
        </r>
        <r>
          <rPr>
            <sz val="9"/>
            <color indexed="81"/>
            <rFont val="Tahoma"/>
            <family val="2"/>
          </rPr>
          <t>For commercial transports, assume that empty weight is operating empty weight, which includes crew</t>
        </r>
      </text>
    </comment>
    <comment ref="D44" authorId="0" shapeId="0">
      <text>
        <r>
          <rPr>
            <b/>
            <sz val="8"/>
            <color indexed="81"/>
            <rFont val="Tahoma"/>
            <family val="2"/>
          </rPr>
          <t>Tony Hays:</t>
        </r>
        <r>
          <rPr>
            <sz val="8"/>
            <color indexed="81"/>
            <rFont val="Tahoma"/>
            <family val="2"/>
          </rPr>
          <t xml:space="preserve">
ZFW</t>
        </r>
      </text>
    </comment>
    <comment ref="D47" authorId="0" shapeId="0">
      <text>
        <r>
          <rPr>
            <b/>
            <sz val="8"/>
            <color indexed="81"/>
            <rFont val="Tahoma"/>
            <family val="2"/>
          </rPr>
          <t>Tony Hays:</t>
        </r>
        <r>
          <rPr>
            <sz val="8"/>
            <color indexed="81"/>
            <rFont val="Tahoma"/>
            <family val="2"/>
          </rPr>
          <t xml:space="preserve">
ZFW - Payload</t>
        </r>
      </text>
    </comment>
    <comment ref="F47" authorId="0" shapeId="0">
      <text>
        <r>
          <rPr>
            <b/>
            <sz val="8"/>
            <color indexed="81"/>
            <rFont val="Tahoma"/>
            <family val="2"/>
          </rPr>
          <t>Tony Hays:</t>
        </r>
        <r>
          <rPr>
            <sz val="8"/>
            <color indexed="81"/>
            <rFont val="Tahoma"/>
            <family val="2"/>
          </rPr>
          <t xml:space="preserve">
Normally weights are given as OEW, but for a VLJ it's probabyy EW</t>
        </r>
      </text>
    </comment>
  </commentList>
</comments>
</file>

<file path=xl/comments2.xml><?xml version="1.0" encoding="utf-8"?>
<comments xmlns="http://schemas.openxmlformats.org/spreadsheetml/2006/main">
  <authors>
    <author>Tony Hays</author>
  </authors>
  <commentList>
    <comment ref="F12" authorId="0" shapeId="0">
      <text>
        <r>
          <rPr>
            <b/>
            <sz val="11"/>
            <color indexed="81"/>
            <rFont val="Tahoma"/>
            <family val="2"/>
          </rPr>
          <t>Tony Hays:</t>
        </r>
        <r>
          <rPr>
            <sz val="11"/>
            <color indexed="81"/>
            <rFont val="Tahoma"/>
            <family val="2"/>
          </rPr>
          <t xml:space="preserve">
For commercial aircraft, OEW includes crew</t>
        </r>
      </text>
    </comment>
    <comment ref="D43" authorId="0" shapeId="0">
      <text>
        <r>
          <rPr>
            <b/>
            <sz val="11"/>
            <color indexed="81"/>
            <rFont val="Tahoma"/>
            <family val="2"/>
          </rPr>
          <t>Tony Hays:</t>
        </r>
        <r>
          <rPr>
            <sz val="11"/>
            <color indexed="81"/>
            <rFont val="Tahoma"/>
            <family val="2"/>
          </rPr>
          <t xml:space="preserve">
ZFW</t>
        </r>
      </text>
    </comment>
  </commentList>
</comments>
</file>

<file path=xl/comments3.xml><?xml version="1.0" encoding="utf-8"?>
<comments xmlns="http://schemas.openxmlformats.org/spreadsheetml/2006/main">
  <authors>
    <author>Tony Hays</author>
  </authors>
  <commentList>
    <comment ref="D26" authorId="0" shapeId="0">
      <text>
        <r>
          <rPr>
            <b/>
            <sz val="8"/>
            <color indexed="81"/>
            <rFont val="Tahoma"/>
            <family val="2"/>
          </rPr>
          <t>Tony Hays:</t>
        </r>
        <r>
          <rPr>
            <sz val="8"/>
            <color indexed="81"/>
            <rFont val="Tahoma"/>
            <family val="2"/>
          </rPr>
          <t xml:space="preserve">
MTOGW-MTOGW_reduction</t>
        </r>
      </text>
    </comment>
    <comment ref="D46" authorId="0" shapeId="0">
      <text>
        <r>
          <rPr>
            <b/>
            <sz val="8"/>
            <color indexed="81"/>
            <rFont val="Tahoma"/>
            <family val="2"/>
          </rPr>
          <t>Tony Hays:</t>
        </r>
        <r>
          <rPr>
            <sz val="8"/>
            <color indexed="81"/>
            <rFont val="Tahoma"/>
            <family val="2"/>
          </rPr>
          <t xml:space="preserve">
ZFW - Payload</t>
        </r>
      </text>
    </comment>
  </commentList>
</comments>
</file>

<file path=xl/comments4.xml><?xml version="1.0" encoding="utf-8"?>
<comments xmlns="http://schemas.openxmlformats.org/spreadsheetml/2006/main">
  <authors>
    <author>Tony Hays</author>
  </authors>
  <commentList>
    <comment ref="G10" authorId="0" shapeId="0">
      <text>
        <r>
          <rPr>
            <b/>
            <sz val="8"/>
            <color indexed="81"/>
            <rFont val="Tahoma"/>
            <family val="2"/>
          </rPr>
          <t>Tony Hays:</t>
        </r>
        <r>
          <rPr>
            <sz val="8"/>
            <color indexed="81"/>
            <rFont val="Tahoma"/>
            <family val="2"/>
          </rPr>
          <t xml:space="preserve">
Arbitrarily selected from Raymer Table 15.4.  Adjust these values as appropriate.</t>
        </r>
      </text>
    </comment>
    <comment ref="H10" authorId="0" shapeId="0">
      <text>
        <r>
          <rPr>
            <b/>
            <sz val="8"/>
            <color indexed="81"/>
            <rFont val="Tahoma"/>
            <family val="2"/>
          </rPr>
          <t>Tony Hays:</t>
        </r>
        <r>
          <rPr>
            <sz val="8"/>
            <color indexed="81"/>
            <rFont val="Tahoma"/>
            <family val="2"/>
          </rPr>
          <t xml:space="preserve">
This column calculates values based on figure below. Assume MWE = OWE (in reality MWE =~95%OWE)</t>
        </r>
      </text>
    </comment>
    <comment ref="G16" authorId="0" shapeId="0">
      <text>
        <r>
          <rPr>
            <b/>
            <sz val="9"/>
            <color indexed="81"/>
            <rFont val="Tahoma"/>
            <family val="2"/>
          </rPr>
          <t>Tony Hays:</t>
        </r>
        <r>
          <rPr>
            <sz val="9"/>
            <color indexed="81"/>
            <rFont val="Tahoma"/>
            <family val="2"/>
          </rPr>
          <t xml:space="preserve">
Weight reduction due to composite nacelles.</t>
        </r>
      </text>
    </comment>
    <comment ref="B26" authorId="0" shapeId="0">
      <text>
        <r>
          <rPr>
            <b/>
            <sz val="8"/>
            <color indexed="81"/>
            <rFont val="Tahoma"/>
            <family val="2"/>
          </rPr>
          <t>Tony Hays:</t>
        </r>
        <r>
          <rPr>
            <sz val="8"/>
            <color indexed="81"/>
            <rFont val="Tahoma"/>
            <family val="2"/>
          </rPr>
          <t xml:space="preserve">
Adjusted for use of composites</t>
        </r>
      </text>
    </comment>
  </commentList>
</comments>
</file>

<file path=xl/sharedStrings.xml><?xml version="1.0" encoding="utf-8"?>
<sst xmlns="http://schemas.openxmlformats.org/spreadsheetml/2006/main" count="319" uniqueCount="144">
  <si>
    <t>MWE</t>
  </si>
  <si>
    <t>OWE</t>
  </si>
  <si>
    <t>Passengers/Luggage</t>
  </si>
  <si>
    <t>Base Aircraft</t>
  </si>
  <si>
    <t>Crew/Requirements</t>
  </si>
  <si>
    <t>MZFW</t>
  </si>
  <si>
    <t>Fuel</t>
  </si>
  <si>
    <t>MTOGW</t>
  </si>
  <si>
    <t>MLW</t>
  </si>
  <si>
    <t>Landing Weight</t>
  </si>
  <si>
    <t>Full Weight</t>
  </si>
  <si>
    <t>Manufacturer W Empty</t>
  </si>
  <si>
    <t>Max Zero Fuel W</t>
  </si>
  <si>
    <t>-</t>
  </si>
  <si>
    <t>Max TakeOff Gross W</t>
  </si>
  <si>
    <t>Max Landing W</t>
  </si>
  <si>
    <t>Units</t>
  </si>
  <si>
    <t>Value</t>
  </si>
  <si>
    <t>Title</t>
  </si>
  <si>
    <t>ft</t>
  </si>
  <si>
    <t>n.mi</t>
  </si>
  <si>
    <t>Specific Fuel Consumption (C )</t>
  </si>
  <si>
    <t>Weight (lb)</t>
  </si>
  <si>
    <t>Payload Weight (PW)</t>
  </si>
  <si>
    <t>Lift-to-Drag Ratio (L/D)</t>
  </si>
  <si>
    <t>lb/hr/lb</t>
  </si>
  <si>
    <t>Cruise Range (R1)</t>
  </si>
  <si>
    <t>Secondary Range (R2)</t>
  </si>
  <si>
    <t>Diversion Range (R3)</t>
  </si>
  <si>
    <t>Mach # (M)</t>
  </si>
  <si>
    <t>Passenger Weight</t>
  </si>
  <si>
    <t>Cruise Altitude (h)</t>
  </si>
  <si>
    <t>Temperature Lapse Rate</t>
  </si>
  <si>
    <t>°R/ft</t>
  </si>
  <si>
    <t>Gas Constant</t>
  </si>
  <si>
    <t>ft/°R</t>
  </si>
  <si>
    <t>Temperature @ Sea Level</t>
  </si>
  <si>
    <t>°R</t>
  </si>
  <si>
    <t>Gravitational constant</t>
  </si>
  <si>
    <t>Specific Heat Ratio</t>
  </si>
  <si>
    <r>
      <t>ft/s</t>
    </r>
    <r>
      <rPr>
        <vertAlign val="superscript"/>
        <sz val="10"/>
        <rFont val="Arial"/>
        <family val="2"/>
      </rPr>
      <t>2</t>
    </r>
  </si>
  <si>
    <t>hr</t>
  </si>
  <si>
    <t>ft/s</t>
  </si>
  <si>
    <t>Hold time (E)</t>
  </si>
  <si>
    <t>Speed of sound (a)</t>
  </si>
  <si>
    <t>Temperature (T)</t>
  </si>
  <si>
    <r>
      <t>Loiter Fuel Consumption (C</t>
    </r>
    <r>
      <rPr>
        <vertAlign val="subscript"/>
        <sz val="10"/>
        <rFont val="Arial"/>
        <family val="2"/>
      </rPr>
      <t>h</t>
    </r>
    <r>
      <rPr>
        <sz val="10"/>
        <rFont val="Arial"/>
        <family val="2"/>
      </rPr>
      <t>)</t>
    </r>
  </si>
  <si>
    <t>Engine Start/Warmup</t>
  </si>
  <si>
    <t>Taxi</t>
  </si>
  <si>
    <t>Takeoff 1</t>
  </si>
  <si>
    <t>Climb to cruise altitude</t>
  </si>
  <si>
    <t>Cruise (Primary Range)</t>
  </si>
  <si>
    <t>Descent</t>
  </si>
  <si>
    <t>Land</t>
  </si>
  <si>
    <t>Takeoff 2</t>
  </si>
  <si>
    <t>Cruise (Secondary Range)</t>
  </si>
  <si>
    <t>Cruise (Diversion Range)</t>
  </si>
  <si>
    <t>30-minute Loiter</t>
  </si>
  <si>
    <t>Taxi/Shutoff</t>
  </si>
  <si>
    <t>Description</t>
  </si>
  <si>
    <r>
      <t>W</t>
    </r>
    <r>
      <rPr>
        <b/>
        <vertAlign val="subscript"/>
        <sz val="10"/>
        <rFont val="Arial"/>
        <family val="2"/>
      </rPr>
      <t>f</t>
    </r>
    <r>
      <rPr>
        <b/>
        <sz val="10"/>
        <rFont val="Arial"/>
        <family val="2"/>
      </rPr>
      <t>/W</t>
    </r>
    <r>
      <rPr>
        <b/>
        <vertAlign val="subscript"/>
        <sz val="10"/>
        <rFont val="Arial"/>
        <family val="2"/>
      </rPr>
      <t>i</t>
    </r>
  </si>
  <si>
    <r>
      <t>W</t>
    </r>
    <r>
      <rPr>
        <vertAlign val="subscript"/>
        <sz val="10"/>
        <rFont val="Arial"/>
        <family val="2"/>
      </rPr>
      <t>2</t>
    </r>
    <r>
      <rPr>
        <sz val="10"/>
        <rFont val="Arial"/>
        <family val="2"/>
      </rPr>
      <t>/W</t>
    </r>
    <r>
      <rPr>
        <vertAlign val="subscript"/>
        <sz val="10"/>
        <rFont val="Arial"/>
        <family val="2"/>
      </rPr>
      <t>1</t>
    </r>
  </si>
  <si>
    <r>
      <t>W</t>
    </r>
    <r>
      <rPr>
        <vertAlign val="subscript"/>
        <sz val="10"/>
        <rFont val="Arial"/>
        <family val="2"/>
      </rPr>
      <t>3</t>
    </r>
    <r>
      <rPr>
        <sz val="10"/>
        <rFont val="Arial"/>
        <family val="2"/>
      </rPr>
      <t>/W</t>
    </r>
    <r>
      <rPr>
        <vertAlign val="subscript"/>
        <sz val="10"/>
        <rFont val="Arial"/>
        <family val="2"/>
      </rPr>
      <t>2</t>
    </r>
    <r>
      <rPr>
        <sz val="10"/>
        <rFont val="Arial"/>
        <family val="2"/>
      </rPr>
      <t/>
    </r>
  </si>
  <si>
    <r>
      <t>W</t>
    </r>
    <r>
      <rPr>
        <vertAlign val="subscript"/>
        <sz val="10"/>
        <rFont val="Arial"/>
        <family val="2"/>
      </rPr>
      <t>1</t>
    </r>
    <r>
      <rPr>
        <sz val="10"/>
        <rFont val="Arial"/>
        <family val="2"/>
      </rPr>
      <t>/W</t>
    </r>
    <r>
      <rPr>
        <vertAlign val="subscript"/>
        <sz val="10"/>
        <rFont val="Arial"/>
        <family val="2"/>
      </rPr>
      <t>0</t>
    </r>
  </si>
  <si>
    <r>
      <t>W</t>
    </r>
    <r>
      <rPr>
        <vertAlign val="subscript"/>
        <sz val="10"/>
        <rFont val="Arial"/>
        <family val="2"/>
      </rPr>
      <t>4</t>
    </r>
    <r>
      <rPr>
        <sz val="10"/>
        <rFont val="Arial"/>
        <family val="2"/>
      </rPr>
      <t>/W</t>
    </r>
    <r>
      <rPr>
        <vertAlign val="subscript"/>
        <sz val="10"/>
        <rFont val="Arial"/>
        <family val="2"/>
      </rPr>
      <t>3</t>
    </r>
    <r>
      <rPr>
        <sz val="10"/>
        <rFont val="Arial"/>
        <family val="2"/>
      </rPr>
      <t/>
    </r>
  </si>
  <si>
    <r>
      <t>W</t>
    </r>
    <r>
      <rPr>
        <vertAlign val="subscript"/>
        <sz val="10"/>
        <rFont val="Arial"/>
        <family val="2"/>
      </rPr>
      <t>5</t>
    </r>
    <r>
      <rPr>
        <sz val="10"/>
        <rFont val="Arial"/>
        <family val="2"/>
      </rPr>
      <t>/W</t>
    </r>
    <r>
      <rPr>
        <vertAlign val="subscript"/>
        <sz val="10"/>
        <rFont val="Arial"/>
        <family val="2"/>
      </rPr>
      <t>4</t>
    </r>
    <r>
      <rPr>
        <sz val="10"/>
        <rFont val="Arial"/>
        <family val="2"/>
      </rPr>
      <t/>
    </r>
  </si>
  <si>
    <r>
      <t>W</t>
    </r>
    <r>
      <rPr>
        <vertAlign val="subscript"/>
        <sz val="10"/>
        <rFont val="Arial"/>
        <family val="2"/>
      </rPr>
      <t>6</t>
    </r>
    <r>
      <rPr>
        <sz val="10"/>
        <rFont val="Arial"/>
        <family val="2"/>
      </rPr>
      <t>/W</t>
    </r>
    <r>
      <rPr>
        <vertAlign val="subscript"/>
        <sz val="10"/>
        <rFont val="Arial"/>
        <family val="2"/>
      </rPr>
      <t>5</t>
    </r>
    <r>
      <rPr>
        <sz val="10"/>
        <rFont val="Arial"/>
        <family val="2"/>
      </rPr>
      <t/>
    </r>
  </si>
  <si>
    <r>
      <t>W</t>
    </r>
    <r>
      <rPr>
        <vertAlign val="subscript"/>
        <sz val="10"/>
        <rFont val="Arial"/>
        <family val="2"/>
      </rPr>
      <t>7</t>
    </r>
    <r>
      <rPr>
        <sz val="10"/>
        <rFont val="Arial"/>
        <family val="2"/>
      </rPr>
      <t>/W</t>
    </r>
    <r>
      <rPr>
        <vertAlign val="subscript"/>
        <sz val="10"/>
        <rFont val="Arial"/>
        <family val="2"/>
      </rPr>
      <t>6</t>
    </r>
    <r>
      <rPr>
        <sz val="10"/>
        <rFont val="Arial"/>
        <family val="2"/>
      </rPr>
      <t/>
    </r>
  </si>
  <si>
    <r>
      <t>W</t>
    </r>
    <r>
      <rPr>
        <vertAlign val="subscript"/>
        <sz val="10"/>
        <rFont val="Arial"/>
        <family val="2"/>
      </rPr>
      <t>8</t>
    </r>
    <r>
      <rPr>
        <sz val="10"/>
        <rFont val="Arial"/>
        <family val="2"/>
      </rPr>
      <t>/W</t>
    </r>
    <r>
      <rPr>
        <vertAlign val="subscript"/>
        <sz val="10"/>
        <rFont val="Arial"/>
        <family val="2"/>
      </rPr>
      <t>7</t>
    </r>
    <r>
      <rPr>
        <sz val="10"/>
        <rFont val="Arial"/>
        <family val="2"/>
      </rPr>
      <t/>
    </r>
  </si>
  <si>
    <r>
      <t>W</t>
    </r>
    <r>
      <rPr>
        <vertAlign val="subscript"/>
        <sz val="10"/>
        <rFont val="Arial"/>
        <family val="2"/>
      </rPr>
      <t>9</t>
    </r>
    <r>
      <rPr>
        <sz val="10"/>
        <rFont val="Arial"/>
        <family val="2"/>
      </rPr>
      <t>/W</t>
    </r>
    <r>
      <rPr>
        <vertAlign val="subscript"/>
        <sz val="10"/>
        <rFont val="Arial"/>
        <family val="2"/>
      </rPr>
      <t>8</t>
    </r>
    <r>
      <rPr>
        <sz val="10"/>
        <rFont val="Arial"/>
        <family val="2"/>
      </rPr>
      <t/>
    </r>
  </si>
  <si>
    <r>
      <t>W</t>
    </r>
    <r>
      <rPr>
        <vertAlign val="subscript"/>
        <sz val="10"/>
        <rFont val="Arial"/>
        <family val="2"/>
      </rPr>
      <t>10</t>
    </r>
    <r>
      <rPr>
        <sz val="10"/>
        <rFont val="Arial"/>
        <family val="2"/>
      </rPr>
      <t>/W</t>
    </r>
    <r>
      <rPr>
        <vertAlign val="subscript"/>
        <sz val="10"/>
        <rFont val="Arial"/>
        <family val="2"/>
      </rPr>
      <t>9</t>
    </r>
    <r>
      <rPr>
        <sz val="10"/>
        <rFont val="Arial"/>
        <family val="2"/>
      </rPr>
      <t/>
    </r>
  </si>
  <si>
    <r>
      <t>W</t>
    </r>
    <r>
      <rPr>
        <vertAlign val="subscript"/>
        <sz val="10"/>
        <rFont val="Arial"/>
        <family val="2"/>
      </rPr>
      <t>11</t>
    </r>
    <r>
      <rPr>
        <sz val="10"/>
        <rFont val="Arial"/>
        <family val="2"/>
      </rPr>
      <t>/W</t>
    </r>
    <r>
      <rPr>
        <vertAlign val="subscript"/>
        <sz val="10"/>
        <rFont val="Arial"/>
        <family val="2"/>
      </rPr>
      <t>10</t>
    </r>
    <r>
      <rPr>
        <sz val="10"/>
        <rFont val="Arial"/>
        <family val="2"/>
      </rPr>
      <t/>
    </r>
  </si>
  <si>
    <r>
      <t>W</t>
    </r>
    <r>
      <rPr>
        <vertAlign val="subscript"/>
        <sz val="10"/>
        <rFont val="Arial"/>
        <family val="2"/>
      </rPr>
      <t>12</t>
    </r>
    <r>
      <rPr>
        <sz val="10"/>
        <rFont val="Arial"/>
        <family val="2"/>
      </rPr>
      <t>/W</t>
    </r>
    <r>
      <rPr>
        <vertAlign val="subscript"/>
        <sz val="10"/>
        <rFont val="Arial"/>
        <family val="2"/>
      </rPr>
      <t>11</t>
    </r>
    <r>
      <rPr>
        <sz val="10"/>
        <rFont val="Arial"/>
        <family val="2"/>
      </rPr>
      <t/>
    </r>
  </si>
  <si>
    <r>
      <t>W</t>
    </r>
    <r>
      <rPr>
        <vertAlign val="subscript"/>
        <sz val="10"/>
        <rFont val="Arial"/>
        <family val="2"/>
      </rPr>
      <t>13</t>
    </r>
    <r>
      <rPr>
        <sz val="10"/>
        <rFont val="Arial"/>
        <family val="2"/>
      </rPr>
      <t>/W</t>
    </r>
    <r>
      <rPr>
        <vertAlign val="subscript"/>
        <sz val="10"/>
        <rFont val="Arial"/>
        <family val="2"/>
      </rPr>
      <t>12</t>
    </r>
    <r>
      <rPr>
        <sz val="10"/>
        <rFont val="Arial"/>
        <family val="2"/>
      </rPr>
      <t/>
    </r>
  </si>
  <si>
    <r>
      <t>W</t>
    </r>
    <r>
      <rPr>
        <vertAlign val="subscript"/>
        <sz val="10"/>
        <rFont val="Arial"/>
        <family val="2"/>
      </rPr>
      <t>14</t>
    </r>
    <r>
      <rPr>
        <sz val="10"/>
        <rFont val="Arial"/>
        <family val="2"/>
      </rPr>
      <t>/W</t>
    </r>
    <r>
      <rPr>
        <vertAlign val="subscript"/>
        <sz val="10"/>
        <rFont val="Arial"/>
        <family val="2"/>
      </rPr>
      <t>13</t>
    </r>
    <r>
      <rPr>
        <sz val="10"/>
        <rFont val="Arial"/>
        <family val="2"/>
      </rPr>
      <t/>
    </r>
  </si>
  <si>
    <r>
      <t>W</t>
    </r>
    <r>
      <rPr>
        <vertAlign val="subscript"/>
        <sz val="10"/>
        <rFont val="Arial"/>
        <family val="2"/>
      </rPr>
      <t>15</t>
    </r>
    <r>
      <rPr>
        <sz val="10"/>
        <rFont val="Arial"/>
        <family val="2"/>
      </rPr>
      <t>/W</t>
    </r>
    <r>
      <rPr>
        <vertAlign val="subscript"/>
        <sz val="10"/>
        <rFont val="Arial"/>
        <family val="2"/>
      </rPr>
      <t>14</t>
    </r>
    <r>
      <rPr>
        <sz val="10"/>
        <rFont val="Arial"/>
        <family val="2"/>
      </rPr>
      <t/>
    </r>
  </si>
  <si>
    <r>
      <t>W</t>
    </r>
    <r>
      <rPr>
        <vertAlign val="subscript"/>
        <sz val="10"/>
        <rFont val="Arial"/>
        <family val="2"/>
      </rPr>
      <t>16</t>
    </r>
    <r>
      <rPr>
        <sz val="10"/>
        <rFont val="Arial"/>
        <family val="2"/>
      </rPr>
      <t>/W</t>
    </r>
    <r>
      <rPr>
        <vertAlign val="subscript"/>
        <sz val="10"/>
        <rFont val="Arial"/>
        <family val="2"/>
      </rPr>
      <t>15</t>
    </r>
    <r>
      <rPr>
        <sz val="10"/>
        <rFont val="Arial"/>
        <family val="2"/>
      </rPr>
      <t/>
    </r>
  </si>
  <si>
    <r>
      <t>W</t>
    </r>
    <r>
      <rPr>
        <vertAlign val="subscript"/>
        <sz val="10"/>
        <rFont val="Arial"/>
        <family val="2"/>
      </rPr>
      <t>17</t>
    </r>
    <r>
      <rPr>
        <sz val="10"/>
        <rFont val="Arial"/>
        <family val="2"/>
      </rPr>
      <t>/W</t>
    </r>
    <r>
      <rPr>
        <vertAlign val="subscript"/>
        <sz val="10"/>
        <rFont val="Arial"/>
        <family val="2"/>
      </rPr>
      <t>16</t>
    </r>
    <r>
      <rPr>
        <sz val="10"/>
        <rFont val="Arial"/>
        <family val="2"/>
      </rPr>
      <t/>
    </r>
  </si>
  <si>
    <t>Total Weight Ratio</t>
  </si>
  <si>
    <r>
      <t>W</t>
    </r>
    <r>
      <rPr>
        <vertAlign val="subscript"/>
        <sz val="10"/>
        <rFont val="Arial"/>
        <family val="2"/>
      </rPr>
      <t>17</t>
    </r>
    <r>
      <rPr>
        <sz val="10"/>
        <rFont val="Arial"/>
        <family val="2"/>
      </rPr>
      <t>/W</t>
    </r>
    <r>
      <rPr>
        <vertAlign val="subscript"/>
        <sz val="10"/>
        <rFont val="Arial"/>
        <family val="2"/>
      </rPr>
      <t>0</t>
    </r>
  </si>
  <si>
    <t>TOGW</t>
  </si>
  <si>
    <t>Weight</t>
  </si>
  <si>
    <t>Terms in OEW reqd =n</t>
  </si>
  <si>
    <t>A</t>
  </si>
  <si>
    <t>B</t>
  </si>
  <si>
    <t>OEW required</t>
  </si>
  <si>
    <t>Number of pax</t>
  </si>
  <si>
    <t xml:space="preserve">Secondary Range (R2) </t>
  </si>
  <si>
    <t>Range (result) n.mi.</t>
  </si>
  <si>
    <t>Max Range (R1)</t>
  </si>
  <si>
    <t>EW available</t>
  </si>
  <si>
    <t>EW avail - EW red</t>
  </si>
  <si>
    <t>EW required</t>
  </si>
  <si>
    <t>Check:</t>
  </si>
  <si>
    <t>Wempty1</t>
  </si>
  <si>
    <t>Wtakeoff1</t>
  </si>
  <si>
    <t>Wempty2</t>
  </si>
  <si>
    <t>Wtakeoff2</t>
  </si>
  <si>
    <t>Wtakeoff</t>
  </si>
  <si>
    <t>Values at ends of regression line</t>
  </si>
  <si>
    <t>Regression line coeffs</t>
  </si>
  <si>
    <t>Weight Group</t>
  </si>
  <si>
    <t>Reduction Factor</t>
  </si>
  <si>
    <t>Group %MWE</t>
  </si>
  <si>
    <t>Reduced Group %MWE</t>
  </si>
  <si>
    <t>Wing</t>
  </si>
  <si>
    <t>Tails</t>
  </si>
  <si>
    <t>Fuselage</t>
  </si>
  <si>
    <t>Landing Gear</t>
  </si>
  <si>
    <t>Furnishings &amp; Equip't</t>
  </si>
  <si>
    <t>Systems (derived)</t>
  </si>
  <si>
    <t>Total</t>
  </si>
  <si>
    <t>Adjusted values at ends of regression line</t>
  </si>
  <si>
    <t>B'</t>
  </si>
  <si>
    <t>A'</t>
  </si>
  <si>
    <t>Wempty</t>
  </si>
  <si>
    <t>A' (CoeffA)</t>
  </si>
  <si>
    <t>B' (CoeffB)</t>
  </si>
  <si>
    <t>Assumptions:</t>
  </si>
  <si>
    <t>Mission Segments:</t>
  </si>
  <si>
    <t>EW avail - EW reqd</t>
  </si>
  <si>
    <t>ZFW</t>
  </si>
  <si>
    <t>Operating W Empty</t>
  </si>
  <si>
    <t>Check on above</t>
  </si>
  <si>
    <t>Cruise SFC (C )</t>
  </si>
  <si>
    <t>Bizjet</t>
  </si>
  <si>
    <t>1-aisle transport</t>
  </si>
  <si>
    <t>2-aisle transport</t>
  </si>
  <si>
    <t>Fighter/   Attack</t>
  </si>
  <si>
    <t>Mil jet transport/bomber</t>
  </si>
  <si>
    <t>Engines &amp; Nacelles</t>
  </si>
  <si>
    <t>Weight/Passenger [lb]</t>
  </si>
  <si>
    <t>Luggage wt/passenger</t>
  </si>
  <si>
    <t>Number of crew members</t>
  </si>
  <si>
    <t xml:space="preserve">Crew Wt + luggage </t>
  </si>
  <si>
    <t>Total crew weight</t>
  </si>
  <si>
    <t>Zero Fuel Weight</t>
  </si>
  <si>
    <t>EW available maxrange</t>
  </si>
  <si>
    <t>WEITDIFF =&gt;</t>
  </si>
  <si>
    <r>
      <t>W</t>
    </r>
    <r>
      <rPr>
        <vertAlign val="subscript"/>
        <sz val="10"/>
        <rFont val="Arial"/>
        <family val="2"/>
      </rPr>
      <t>f</t>
    </r>
    <r>
      <rPr>
        <sz val="10"/>
        <rFont val="Arial"/>
        <family val="2"/>
      </rPr>
      <t>/W</t>
    </r>
    <r>
      <rPr>
        <vertAlign val="subscript"/>
        <sz val="10"/>
        <rFont val="Arial"/>
        <family val="2"/>
      </rPr>
      <t>i</t>
    </r>
  </si>
  <si>
    <t>MTOGW =&gt;</t>
  </si>
  <si>
    <t>MTOGW reduction</t>
  </si>
  <si>
    <t>No. of pax from point 4</t>
  </si>
  <si>
    <t>Terms in EW reqd =n adjusted for composite structure (see sheet Empty Weight =n)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</si>
</sst>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6" x14ac:knownFonts="1">
    <font>
      <sz val="10"/>
      <name val="Arial"/>
    </font>
    <font>
      <sz val="10"/>
      <name val="Arial"/>
      <family val="2"/>
    </font>
    <font>
      <b/>
      <sz val="10"/>
      <name val="Arial"/>
      <family val="2"/>
    </font>
    <font>
      <vertAlign val="superscript"/>
      <sz val="10"/>
      <name val="Arial"/>
      <family val="2"/>
    </font>
    <font>
      <vertAlign val="subscript"/>
      <sz val="10"/>
      <name val="Arial"/>
      <family val="2"/>
    </font>
    <font>
      <b/>
      <vertAlign val="subscript"/>
      <sz val="10"/>
      <name val="Arial"/>
      <family val="2"/>
    </font>
    <font>
      <sz val="10"/>
      <name val="Arial"/>
      <family val="2"/>
    </font>
    <font>
      <sz val="8"/>
      <color indexed="81"/>
      <name val="Tahoma"/>
      <family val="2"/>
    </font>
    <font>
      <b/>
      <sz val="8"/>
      <color indexed="81"/>
      <name val="Tahoma"/>
      <family val="2"/>
    </font>
    <font>
      <sz val="9"/>
      <name val="Arial"/>
      <family val="2"/>
    </font>
    <font>
      <sz val="9"/>
      <color indexed="81"/>
      <name val="Tahoma"/>
      <family val="2"/>
    </font>
    <font>
      <b/>
      <sz val="9"/>
      <color indexed="81"/>
      <name val="Tahoma"/>
      <family val="2"/>
    </font>
    <font>
      <sz val="10"/>
      <color theme="1"/>
      <name val="Arial"/>
      <family val="2"/>
    </font>
    <font>
      <sz val="10"/>
      <color rgb="FFFF0000"/>
      <name val="Arial"/>
      <family val="2"/>
    </font>
    <font>
      <sz val="11"/>
      <color indexed="81"/>
      <name val="Tahoma"/>
      <family val="2"/>
    </font>
    <font>
      <b/>
      <sz val="11"/>
      <color indexed="81"/>
      <name val="Tahoma"/>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141">
    <xf numFmtId="0" fontId="0" fillId="0" borderId="0" xfId="0"/>
    <xf numFmtId="0" fontId="0" fillId="0" borderId="0" xfId="0" applyAlignment="1">
      <alignment horizontal="center"/>
    </xf>
    <xf numFmtId="0" fontId="2" fillId="0" borderId="0" xfId="0" applyFont="1" applyAlignment="1">
      <alignment horizontal="center"/>
    </xf>
    <xf numFmtId="0" fontId="0" fillId="0" borderId="0" xfId="0" applyAlignment="1">
      <alignment horizontal="left"/>
    </xf>
    <xf numFmtId="0" fontId="0" fillId="0" borderId="0" xfId="0" applyBorder="1" applyAlignment="1">
      <alignment horizontal="center"/>
    </xf>
    <xf numFmtId="0" fontId="0" fillId="0" borderId="0" xfId="0" applyAlignment="1"/>
    <xf numFmtId="164" fontId="0" fillId="0" borderId="0" xfId="0" applyNumberFormat="1" applyAlignment="1">
      <alignment horizontal="right"/>
    </xf>
    <xf numFmtId="0" fontId="0" fillId="0" borderId="0" xfId="0" applyAlignment="1">
      <alignment horizontal="right"/>
    </xf>
    <xf numFmtId="1" fontId="0" fillId="0" borderId="0" xfId="0" applyNumberFormat="1" applyAlignment="1">
      <alignment horizontal="right"/>
    </xf>
    <xf numFmtId="0" fontId="1" fillId="0" borderId="0" xfId="0" applyFont="1" applyAlignment="1">
      <alignment horizontal="left"/>
    </xf>
    <xf numFmtId="0" fontId="1" fillId="0" borderId="0" xfId="0" applyFont="1" applyAlignment="1"/>
    <xf numFmtId="1" fontId="0" fillId="0" borderId="0" xfId="0" applyNumberFormat="1" applyBorder="1" applyAlignment="1">
      <alignment horizontal="right"/>
    </xf>
    <xf numFmtId="0" fontId="1" fillId="0" borderId="0" xfId="0" applyFont="1"/>
    <xf numFmtId="0" fontId="0" fillId="0" borderId="2" xfId="0" applyBorder="1" applyAlignment="1">
      <alignment horizontal="right"/>
    </xf>
    <xf numFmtId="0" fontId="2" fillId="0" borderId="2" xfId="0" applyFont="1" applyBorder="1" applyAlignment="1">
      <alignment horizontal="center"/>
    </xf>
    <xf numFmtId="0" fontId="0" fillId="0" borderId="2" xfId="0" applyBorder="1" applyAlignment="1">
      <alignment horizontal="left"/>
    </xf>
    <xf numFmtId="0" fontId="0" fillId="0" borderId="2" xfId="0" applyBorder="1" applyAlignment="1">
      <alignment horizontal="center"/>
    </xf>
    <xf numFmtId="164" fontId="0" fillId="0" borderId="2" xfId="0" applyNumberFormat="1" applyBorder="1" applyAlignment="1">
      <alignment horizontal="right"/>
    </xf>
    <xf numFmtId="0" fontId="1" fillId="0" borderId="2"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0" fillId="0" borderId="6" xfId="0" applyBorder="1" applyAlignment="1">
      <alignment horizontal="left"/>
    </xf>
    <xf numFmtId="0" fontId="1" fillId="0" borderId="6" xfId="0" applyFont="1" applyBorder="1" applyAlignment="1">
      <alignment horizontal="left"/>
    </xf>
    <xf numFmtId="0" fontId="0" fillId="0" borderId="8" xfId="0" applyBorder="1" applyAlignment="1">
      <alignment horizontal="left"/>
    </xf>
    <xf numFmtId="0" fontId="0" fillId="0" borderId="9" xfId="0" applyBorder="1" applyAlignment="1">
      <alignment horizontal="center"/>
    </xf>
    <xf numFmtId="164" fontId="0" fillId="0" borderId="10" xfId="0" applyNumberFormat="1" applyBorder="1" applyAlignment="1">
      <alignment horizontal="right"/>
    </xf>
    <xf numFmtId="0" fontId="6" fillId="0" borderId="2" xfId="0" applyFont="1" applyBorder="1" applyAlignment="1">
      <alignment horizontal="center"/>
    </xf>
    <xf numFmtId="164" fontId="0" fillId="3" borderId="2" xfId="0" applyNumberFormat="1" applyFill="1" applyBorder="1" applyAlignment="1">
      <alignment horizontal="right"/>
    </xf>
    <xf numFmtId="0" fontId="2" fillId="0" borderId="2" xfId="0" applyFont="1" applyBorder="1" applyAlignment="1"/>
    <xf numFmtId="0" fontId="2" fillId="0" borderId="0" xfId="0" applyFont="1" applyAlignment="1">
      <alignment horizontal="left"/>
    </xf>
    <xf numFmtId="1" fontId="0" fillId="0" borderId="2" xfId="0" applyNumberFormat="1" applyBorder="1" applyAlignment="1">
      <alignment horizontal="right"/>
    </xf>
    <xf numFmtId="0" fontId="1" fillId="0" borderId="0" xfId="0" applyFont="1" applyAlignment="1">
      <alignment horizontal="center"/>
    </xf>
    <xf numFmtId="0" fontId="1" fillId="0" borderId="6" xfId="0" applyFont="1" applyBorder="1"/>
    <xf numFmtId="0" fontId="1" fillId="0" borderId="8" xfId="0" applyFont="1" applyBorder="1"/>
    <xf numFmtId="0" fontId="0" fillId="0" borderId="9" xfId="0" applyBorder="1"/>
    <xf numFmtId="0" fontId="0" fillId="0" borderId="7" xfId="0" applyBorder="1"/>
    <xf numFmtId="0" fontId="0" fillId="0" borderId="6" xfId="0" applyBorder="1"/>
    <xf numFmtId="0" fontId="0" fillId="0" borderId="11" xfId="0" applyBorder="1"/>
    <xf numFmtId="0" fontId="0" fillId="0" borderId="12" xfId="0" applyBorder="1"/>
    <xf numFmtId="0" fontId="9" fillId="0" borderId="6" xfId="0" applyFont="1" applyBorder="1"/>
    <xf numFmtId="0" fontId="9" fillId="0" borderId="7" xfId="0" applyFont="1" applyBorder="1"/>
    <xf numFmtId="0" fontId="0" fillId="0" borderId="10" xfId="0" applyBorder="1"/>
    <xf numFmtId="1" fontId="0" fillId="2" borderId="1" xfId="0" applyNumberFormat="1" applyFill="1" applyBorder="1" applyAlignment="1">
      <alignment horizontal="right"/>
    </xf>
    <xf numFmtId="3" fontId="0" fillId="0" borderId="7" xfId="0" applyNumberFormat="1" applyBorder="1"/>
    <xf numFmtId="1" fontId="2" fillId="0" borderId="10" xfId="0" applyNumberFormat="1" applyFont="1" applyBorder="1"/>
    <xf numFmtId="0" fontId="2" fillId="0" borderId="8" xfId="0" applyFont="1" applyBorder="1"/>
    <xf numFmtId="3" fontId="0" fillId="0" borderId="0" xfId="0" applyNumberFormat="1"/>
    <xf numFmtId="2" fontId="0" fillId="0" borderId="2" xfId="0" applyNumberFormat="1" applyBorder="1"/>
    <xf numFmtId="2" fontId="0" fillId="0" borderId="7" xfId="0" applyNumberFormat="1" applyBorder="1" applyAlignment="1">
      <alignment horizontal="right"/>
    </xf>
    <xf numFmtId="0" fontId="2" fillId="0" borderId="0" xfId="0" applyFont="1" applyBorder="1"/>
    <xf numFmtId="0" fontId="0" fillId="0" borderId="0" xfId="0" applyBorder="1"/>
    <xf numFmtId="1" fontId="2" fillId="0" borderId="0" xfId="0" applyNumberFormat="1" applyFont="1" applyBorder="1"/>
    <xf numFmtId="1" fontId="13" fillId="0" borderId="7" xfId="0" applyNumberFormat="1" applyFont="1" applyBorder="1" applyAlignment="1">
      <alignment horizontal="right"/>
    </xf>
    <xf numFmtId="164" fontId="13" fillId="0" borderId="7" xfId="0" applyNumberFormat="1" applyFont="1" applyBorder="1" applyAlignment="1">
      <alignment horizontal="right"/>
    </xf>
    <xf numFmtId="0" fontId="13" fillId="0" borderId="2" xfId="0" applyFont="1" applyBorder="1"/>
    <xf numFmtId="3" fontId="13" fillId="0" borderId="7" xfId="0" applyNumberFormat="1" applyFont="1" applyBorder="1"/>
    <xf numFmtId="3" fontId="13" fillId="0" borderId="10" xfId="0" applyNumberFormat="1" applyFont="1" applyBorder="1"/>
    <xf numFmtId="3" fontId="13" fillId="0" borderId="2" xfId="0" applyNumberFormat="1" applyFont="1" applyBorder="1"/>
    <xf numFmtId="3" fontId="13" fillId="0" borderId="9" xfId="0" applyNumberFormat="1" applyFont="1" applyBorder="1"/>
    <xf numFmtId="164" fontId="13" fillId="0" borderId="2" xfId="0" applyNumberFormat="1" applyFont="1" applyBorder="1" applyAlignment="1">
      <alignment horizontal="right"/>
    </xf>
    <xf numFmtId="0" fontId="13" fillId="0" borderId="2" xfId="0" applyFont="1" applyBorder="1" applyAlignment="1">
      <alignment horizontal="right"/>
    </xf>
    <xf numFmtId="0" fontId="13" fillId="0" borderId="0" xfId="0" applyFont="1" applyAlignment="1">
      <alignment horizontal="center"/>
    </xf>
    <xf numFmtId="164" fontId="1" fillId="0" borderId="7" xfId="0" applyNumberFormat="1" applyFont="1" applyBorder="1" applyAlignment="1">
      <alignment horizontal="right"/>
    </xf>
    <xf numFmtId="1" fontId="1" fillId="0" borderId="7" xfId="0" applyNumberFormat="1" applyFont="1" applyBorder="1" applyAlignment="1">
      <alignment horizontal="right"/>
    </xf>
    <xf numFmtId="0" fontId="1" fillId="0" borderId="0" xfId="0" applyFont="1" applyBorder="1"/>
    <xf numFmtId="1" fontId="0" fillId="0" borderId="7" xfId="0" applyNumberFormat="1" applyBorder="1" applyAlignment="1">
      <alignment horizontal="right"/>
    </xf>
    <xf numFmtId="1" fontId="0" fillId="2" borderId="7" xfId="0" applyNumberFormat="1" applyFill="1" applyBorder="1" applyAlignment="1">
      <alignment horizontal="right"/>
    </xf>
    <xf numFmtId="3" fontId="1" fillId="3" borderId="7" xfId="0" quotePrefix="1" applyNumberFormat="1" applyFont="1" applyFill="1" applyBorder="1" applyAlignment="1">
      <alignment horizontal="right"/>
    </xf>
    <xf numFmtId="3" fontId="0" fillId="0" borderId="7" xfId="0" applyNumberFormat="1" applyBorder="1" applyAlignment="1">
      <alignment horizontal="right"/>
    </xf>
    <xf numFmtId="3" fontId="0" fillId="3" borderId="7" xfId="0" applyNumberFormat="1" applyFill="1" applyBorder="1" applyAlignment="1">
      <alignment horizontal="right"/>
    </xf>
    <xf numFmtId="164" fontId="0" fillId="0" borderId="0" xfId="0" applyNumberFormat="1" applyBorder="1" applyAlignment="1">
      <alignment horizontal="right"/>
    </xf>
    <xf numFmtId="3" fontId="0" fillId="0" borderId="18" xfId="0" applyNumberFormat="1" applyBorder="1" applyAlignment="1">
      <alignment horizontal="center"/>
    </xf>
    <xf numFmtId="0" fontId="2" fillId="0" borderId="17" xfId="0" applyFont="1" applyBorder="1" applyAlignment="1"/>
    <xf numFmtId="0" fontId="6" fillId="0" borderId="3" xfId="0" applyFont="1" applyBorder="1" applyAlignment="1"/>
    <xf numFmtId="0" fontId="0" fillId="0" borderId="5" xfId="0" applyBorder="1" applyAlignment="1">
      <alignment horizontal="center"/>
    </xf>
    <xf numFmtId="0" fontId="1" fillId="0" borderId="6" xfId="0" applyFont="1" applyBorder="1" applyAlignment="1"/>
    <xf numFmtId="2" fontId="0" fillId="0" borderId="7" xfId="0" applyNumberFormat="1" applyBorder="1" applyAlignment="1">
      <alignment horizontal="center"/>
    </xf>
    <xf numFmtId="0" fontId="1" fillId="0" borderId="8" xfId="0" applyFont="1" applyBorder="1" applyAlignment="1"/>
    <xf numFmtId="2" fontId="0" fillId="0" borderId="10" xfId="0" applyNumberFormat="1" applyBorder="1" applyAlignment="1">
      <alignment horizontal="center"/>
    </xf>
    <xf numFmtId="0" fontId="1" fillId="0" borderId="2" xfId="0" applyFont="1" applyBorder="1" applyAlignment="1">
      <alignment horizontal="center"/>
    </xf>
    <xf numFmtId="164" fontId="1" fillId="0" borderId="2" xfId="0" applyNumberFormat="1" applyFont="1" applyBorder="1" applyAlignment="1">
      <alignment horizontal="right"/>
    </xf>
    <xf numFmtId="164" fontId="1" fillId="3" borderId="2" xfId="0" applyNumberFormat="1" applyFont="1" applyFill="1" applyBorder="1" applyAlignment="1">
      <alignment horizontal="right"/>
    </xf>
    <xf numFmtId="3" fontId="0" fillId="4" borderId="19" xfId="0" applyNumberFormat="1" applyFill="1" applyBorder="1" applyAlignment="1">
      <alignment horizontal="right"/>
    </xf>
    <xf numFmtId="0" fontId="1" fillId="0" borderId="20" xfId="0" applyFont="1" applyBorder="1" applyAlignment="1">
      <alignment horizontal="left"/>
    </xf>
    <xf numFmtId="2" fontId="0" fillId="0" borderId="10" xfId="0" applyNumberFormat="1" applyBorder="1" applyAlignment="1">
      <alignment horizontal="right"/>
    </xf>
    <xf numFmtId="0" fontId="0" fillId="0" borderId="0" xfId="0" applyBorder="1" applyAlignment="1">
      <alignment horizontal="left"/>
    </xf>
    <xf numFmtId="0" fontId="6" fillId="0" borderId="9" xfId="0" applyFont="1" applyBorder="1" applyAlignment="1">
      <alignment horizontal="center"/>
    </xf>
    <xf numFmtId="164" fontId="0" fillId="0" borderId="9" xfId="0" applyNumberFormat="1" applyBorder="1" applyAlignment="1">
      <alignment horizontal="right"/>
    </xf>
    <xf numFmtId="3" fontId="0" fillId="0" borderId="10" xfId="0" applyNumberFormat="1" applyBorder="1" applyAlignment="1">
      <alignment horizontal="right"/>
    </xf>
    <xf numFmtId="0" fontId="1" fillId="0" borderId="13" xfId="0" applyFont="1" applyBorder="1" applyAlignment="1">
      <alignment horizontal="left"/>
    </xf>
    <xf numFmtId="0" fontId="1" fillId="0" borderId="13" xfId="0" applyFont="1" applyBorder="1" applyAlignment="1">
      <alignment horizontal="center"/>
    </xf>
    <xf numFmtId="164" fontId="1" fillId="0" borderId="13" xfId="0" applyNumberFormat="1" applyFont="1" applyBorder="1" applyAlignment="1">
      <alignment horizontal="right"/>
    </xf>
    <xf numFmtId="3" fontId="1" fillId="0" borderId="13" xfId="0" applyNumberFormat="1" applyFont="1" applyBorder="1" applyAlignment="1">
      <alignment horizontal="right"/>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3" fontId="1" fillId="2" borderId="7" xfId="0" applyNumberFormat="1" applyFont="1" applyFill="1" applyBorder="1" applyAlignment="1">
      <alignment horizontal="right"/>
    </xf>
    <xf numFmtId="3" fontId="1" fillId="0" borderId="7" xfId="0" applyNumberFormat="1" applyFont="1" applyBorder="1" applyAlignment="1">
      <alignment horizontal="right"/>
    </xf>
    <xf numFmtId="0" fontId="1" fillId="0" borderId="8" xfId="0" applyFont="1" applyBorder="1" applyAlignment="1">
      <alignment horizontal="left"/>
    </xf>
    <xf numFmtId="0" fontId="1" fillId="0" borderId="9" xfId="0" applyFont="1" applyBorder="1" applyAlignment="1">
      <alignment horizontal="center"/>
    </xf>
    <xf numFmtId="164" fontId="13" fillId="0" borderId="9" xfId="0" applyNumberFormat="1" applyFont="1" applyBorder="1" applyAlignment="1">
      <alignment horizontal="right"/>
    </xf>
    <xf numFmtId="3" fontId="1" fillId="0" borderId="10" xfId="0" applyNumberFormat="1" applyFont="1" applyBorder="1" applyAlignment="1">
      <alignment horizontal="right"/>
    </xf>
    <xf numFmtId="0" fontId="2" fillId="0" borderId="2" xfId="0" applyFont="1" applyBorder="1" applyAlignment="1">
      <alignment horizontal="left"/>
    </xf>
    <xf numFmtId="0" fontId="1" fillId="0" borderId="20" xfId="0" applyFont="1" applyBorder="1" applyAlignment="1">
      <alignment horizontal="center"/>
    </xf>
    <xf numFmtId="164" fontId="1" fillId="0" borderId="20" xfId="0" applyNumberFormat="1" applyFont="1" applyBorder="1" applyAlignment="1">
      <alignment horizontal="right"/>
    </xf>
    <xf numFmtId="3" fontId="1" fillId="0" borderId="20" xfId="0" applyNumberFormat="1" applyFont="1" applyBorder="1" applyAlignment="1">
      <alignment horizontal="right"/>
    </xf>
    <xf numFmtId="0" fontId="2" fillId="0" borderId="25" xfId="0" applyFont="1" applyBorder="1" applyAlignment="1">
      <alignment horizontal="left"/>
    </xf>
    <xf numFmtId="0" fontId="1" fillId="0" borderId="26" xfId="0" applyFont="1" applyBorder="1" applyAlignment="1">
      <alignment horizontal="center"/>
    </xf>
    <xf numFmtId="0" fontId="1" fillId="0" borderId="27" xfId="0" applyFont="1" applyBorder="1" applyAlignment="1">
      <alignment horizontal="center"/>
    </xf>
    <xf numFmtId="3" fontId="1" fillId="4" borderId="19" xfId="0" applyNumberFormat="1" applyFont="1" applyFill="1" applyBorder="1" applyAlignment="1">
      <alignment horizontal="right"/>
    </xf>
    <xf numFmtId="3" fontId="12" fillId="3" borderId="7" xfId="0" applyNumberFormat="1" applyFont="1" applyFill="1" applyBorder="1" applyAlignment="1">
      <alignment horizontal="right"/>
    </xf>
    <xf numFmtId="3" fontId="1" fillId="3" borderId="7" xfId="0" applyNumberFormat="1" applyFont="1" applyFill="1" applyBorder="1" applyAlignment="1">
      <alignment horizontal="right"/>
    </xf>
    <xf numFmtId="164" fontId="1" fillId="0" borderId="9" xfId="0" applyNumberFormat="1" applyFont="1" applyBorder="1" applyAlignment="1">
      <alignment horizontal="right"/>
    </xf>
    <xf numFmtId="0" fontId="1" fillId="0" borderId="3" xfId="0" applyFont="1" applyBorder="1" applyAlignment="1">
      <alignment horizontal="left"/>
    </xf>
    <xf numFmtId="164" fontId="1" fillId="0" borderId="4" xfId="0" applyNumberFormat="1" applyFont="1" applyBorder="1" applyAlignment="1">
      <alignment horizontal="right"/>
    </xf>
    <xf numFmtId="1" fontId="1" fillId="0" borderId="5" xfId="0" applyNumberFormat="1" applyFont="1" applyBorder="1" applyAlignment="1">
      <alignment horizontal="right"/>
    </xf>
    <xf numFmtId="0" fontId="2" fillId="0" borderId="8" xfId="0" applyFont="1" applyBorder="1" applyAlignment="1">
      <alignment horizontal="left"/>
    </xf>
    <xf numFmtId="0" fontId="1" fillId="0" borderId="3" xfId="0" applyFont="1" applyFill="1" applyBorder="1" applyAlignment="1">
      <alignment horizontal="left"/>
    </xf>
    <xf numFmtId="0" fontId="1" fillId="0" borderId="8" xfId="0" applyFont="1" applyFill="1" applyBorder="1" applyAlignment="1">
      <alignment horizontal="left"/>
    </xf>
    <xf numFmtId="0" fontId="2" fillId="0" borderId="3" xfId="0" applyFont="1" applyBorder="1" applyAlignment="1"/>
    <xf numFmtId="0" fontId="0" fillId="0" borderId="7" xfId="0" applyBorder="1" applyAlignment="1">
      <alignment horizontal="right"/>
    </xf>
    <xf numFmtId="0" fontId="0" fillId="0" borderId="10" xfId="0" applyBorder="1" applyAlignment="1">
      <alignment horizontal="right"/>
    </xf>
    <xf numFmtId="3" fontId="13" fillId="0" borderId="5" xfId="0" applyNumberFormat="1" applyFont="1" applyBorder="1" applyAlignment="1">
      <alignment horizontal="right"/>
    </xf>
    <xf numFmtId="0" fontId="1" fillId="0" borderId="21" xfId="0" applyFont="1" applyBorder="1" applyAlignment="1">
      <alignment horizontal="center" wrapText="1"/>
    </xf>
    <xf numFmtId="0" fontId="1" fillId="0" borderId="22"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23" xfId="0" applyFont="1" applyBorder="1" applyAlignment="1">
      <alignment horizontal="center" wrapText="1"/>
    </xf>
    <xf numFmtId="0" fontId="1" fillId="0" borderId="24" xfId="0" applyFont="1" applyBorder="1" applyAlignment="1">
      <alignment horizontal="center" wrapText="1"/>
    </xf>
    <xf numFmtId="0" fontId="1" fillId="0" borderId="5" xfId="0" applyFont="1" applyBorder="1" applyAlignment="1">
      <alignment horizontal="center" wrapText="1"/>
    </xf>
    <xf numFmtId="0" fontId="0" fillId="0" borderId="7" xfId="0" applyBorder="1" applyAlignment="1">
      <alignment horizontal="center" wrapText="1"/>
    </xf>
    <xf numFmtId="0" fontId="1" fillId="0" borderId="3" xfId="0" applyFont="1"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1" fillId="0" borderId="4" xfId="0" applyFont="1" applyBorder="1" applyAlignment="1">
      <alignment horizontal="center" wrapText="1"/>
    </xf>
    <xf numFmtId="0" fontId="0" fillId="0" borderId="2" xfId="0" applyBorder="1" applyAlignment="1">
      <alignment horizontal="center" wrapText="1"/>
    </xf>
    <xf numFmtId="0" fontId="0" fillId="0" borderId="14" xfId="0" applyBorder="1" applyAlignment="1">
      <alignment horizontal="center"/>
    </xf>
    <xf numFmtId="0" fontId="0" fillId="0" borderId="16" xfId="0" applyBorder="1" applyAlignment="1">
      <alignment horizontal="center"/>
    </xf>
    <xf numFmtId="0" fontId="1" fillId="0" borderId="15" xfId="0" applyFont="1" applyBorder="1" applyAlignment="1">
      <alignment horizontal="center" wrapText="1"/>
    </xf>
    <xf numFmtId="0" fontId="1" fillId="0" borderId="13" xfId="0"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0</xdr:col>
      <xdr:colOff>146685</xdr:colOff>
      <xdr:row>0</xdr:row>
      <xdr:rowOff>106680</xdr:rowOff>
    </xdr:from>
    <xdr:to>
      <xdr:col>6</xdr:col>
      <xdr:colOff>205740</xdr:colOff>
      <xdr:row>6</xdr:row>
      <xdr:rowOff>106679</xdr:rowOff>
    </xdr:to>
    <xdr:sp macro="" textlink="">
      <xdr:nvSpPr>
        <xdr:cNvPr id="2" name="TextBox 1"/>
        <xdr:cNvSpPr txBox="1"/>
      </xdr:nvSpPr>
      <xdr:spPr>
        <a:xfrm>
          <a:off x="146685" y="106680"/>
          <a:ext cx="5758815" cy="1005839"/>
        </a:xfrm>
        <a:prstGeom prst="rect">
          <a:avLst/>
        </a:prstGeom>
        <a:solidFill>
          <a:schemeClr val="lt1"/>
        </a:solidFill>
        <a:ln w="254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Mission sizing</a:t>
          </a:r>
          <a:r>
            <a:rPr lang="en-US" sz="1100" baseline="0"/>
            <a:t> worksheet with capability of reducing empty weight to account for composite use.   Use THIS sheet for design range (point 3 on payload range plot).  Additional sheets are available for off-design range at MTOGW and max range at reduced TOGW.  Modify cell contents in </a:t>
          </a:r>
          <a:r>
            <a:rPr lang="en-US" sz="1100" baseline="0">
              <a:solidFill>
                <a:srgbClr val="FF0000"/>
              </a:solidFill>
            </a:rPr>
            <a:t>red</a:t>
          </a:r>
          <a:r>
            <a:rPr lang="en-US" sz="1100" baseline="0"/>
            <a:t> only.</a:t>
          </a:r>
        </a:p>
        <a:p>
          <a:r>
            <a:rPr lang="en-US" sz="1100" baseline="0"/>
            <a:t>Modify mission as necessary for NBAA/FAR 121 domestic/ FAR 121 international/other definition</a:t>
          </a:r>
        </a:p>
        <a:p>
          <a:r>
            <a:rPr lang="en-US" sz="1100" b="1" baseline="0">
              <a:solidFill>
                <a:schemeClr val="dk1"/>
              </a:solidFill>
              <a:effectLst/>
              <a:latin typeface="+mn-lt"/>
              <a:ea typeface="+mn-ea"/>
              <a:cs typeface="+mn-cs"/>
            </a:rPr>
            <a:t>Note that  the empty weight equation is in the form W</a:t>
          </a:r>
          <a:r>
            <a:rPr lang="en-US" sz="1100" b="1" baseline="-25000">
              <a:solidFill>
                <a:schemeClr val="dk1"/>
              </a:solidFill>
              <a:effectLst/>
              <a:latin typeface="+mn-lt"/>
              <a:ea typeface="+mn-ea"/>
              <a:cs typeface="+mn-cs"/>
            </a:rPr>
            <a:t>E</a:t>
          </a:r>
          <a:r>
            <a:rPr lang="en-US" sz="1100" b="1" baseline="0">
              <a:solidFill>
                <a:schemeClr val="dk1"/>
              </a:solidFill>
              <a:effectLst/>
              <a:latin typeface="+mn-lt"/>
              <a:ea typeface="+mn-ea"/>
              <a:cs typeface="+mn-cs"/>
            </a:rPr>
            <a:t> = A*W</a:t>
          </a:r>
          <a:r>
            <a:rPr lang="en-US" sz="1100" b="1" baseline="-25000">
              <a:solidFill>
                <a:schemeClr val="dk1"/>
              </a:solidFill>
              <a:effectLst/>
              <a:latin typeface="+mn-lt"/>
              <a:ea typeface="+mn-ea"/>
              <a:cs typeface="+mn-cs"/>
            </a:rPr>
            <a:t>TO</a:t>
          </a:r>
          <a:r>
            <a:rPr lang="en-US" sz="1100" b="1" baseline="0">
              <a:solidFill>
                <a:schemeClr val="dk1"/>
              </a:solidFill>
              <a:effectLst/>
              <a:latin typeface="+mn-lt"/>
              <a:ea typeface="+mn-ea"/>
              <a:cs typeface="+mn-cs"/>
            </a:rPr>
            <a:t>^B</a:t>
          </a:r>
          <a:endParaRPr lang="en-US">
            <a:effectLst/>
          </a:endParaRPr>
        </a:p>
        <a:p>
          <a:endParaRPr lang="en-US" sz="1100"/>
        </a:p>
      </xdr:txBody>
    </xdr:sp>
    <xdr:clientData/>
  </xdr:twoCellAnchor>
  <xdr:twoCellAnchor>
    <xdr:from>
      <xdr:col>4</xdr:col>
      <xdr:colOff>287020</xdr:colOff>
      <xdr:row>21</xdr:row>
      <xdr:rowOff>43967</xdr:rowOff>
    </xdr:from>
    <xdr:to>
      <xdr:col>10</xdr:col>
      <xdr:colOff>76200</xdr:colOff>
      <xdr:row>36</xdr:row>
      <xdr:rowOff>138793</xdr:rowOff>
    </xdr:to>
    <xdr:sp macro="" textlink="">
      <xdr:nvSpPr>
        <xdr:cNvPr id="3" name="TextBox 2"/>
        <xdr:cNvSpPr txBox="1"/>
      </xdr:nvSpPr>
      <xdr:spPr>
        <a:xfrm>
          <a:off x="4254863" y="3364110"/>
          <a:ext cx="4181566" cy="2712840"/>
        </a:xfrm>
        <a:prstGeom prst="rect">
          <a:avLst/>
        </a:prstGeom>
        <a:solidFill>
          <a:schemeClr val="lt1"/>
        </a:solidFill>
        <a:ln w="254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If Solver</a:t>
          </a:r>
          <a:r>
            <a:rPr lang="en-US" sz="1100" baseline="0"/>
            <a:t> doesn't appear on the taskbar when the Data tab is selected:</a:t>
          </a:r>
          <a:endParaRPr lang="en-US" sz="1100"/>
        </a:p>
        <a:p>
          <a:endParaRPr lang="en-US" sz="1100"/>
        </a:p>
        <a:p>
          <a:r>
            <a:rPr lang="en-US" sz="1100"/>
            <a:t>Make sure that</a:t>
          </a:r>
          <a:r>
            <a:rPr lang="en-US" sz="1100" baseline="0"/>
            <a:t> Solver is </a:t>
          </a:r>
          <a:r>
            <a:rPr lang="en-US" sz="1100" u="sng" baseline="0"/>
            <a:t>installed</a:t>
          </a:r>
          <a:r>
            <a:rPr lang="en-US" sz="1100" baseline="0"/>
            <a:t> and </a:t>
          </a:r>
          <a:r>
            <a:rPr lang="en-US" sz="1100" u="sng" baseline="0"/>
            <a:t>active</a:t>
          </a:r>
          <a:r>
            <a:rPr lang="en-US" sz="1100" baseline="0"/>
            <a:t> on this spreadsheet. </a:t>
          </a:r>
        </a:p>
        <a:p>
          <a:endParaRPr lang="en-US" sz="1100" baseline="0"/>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latin typeface="+mn-lt"/>
              <a:ea typeface="+mn-ea"/>
              <a:cs typeface="+mn-cs"/>
            </a:rPr>
            <a:t>If it is not installed:  Office button -&gt;  Excel Options -&gt;  Add-Ins -&gt;  Manage [ Excel Add-Ins] -&gt; Go</a:t>
          </a:r>
          <a:endParaRPr lang="en-US"/>
        </a:p>
        <a:p>
          <a:endParaRPr lang="en-US" sz="1100" baseline="0"/>
        </a:p>
        <a:p>
          <a:r>
            <a:rPr lang="en-US" sz="1100" baseline="0"/>
            <a:t>If it is installed but not active, then:  Office button -&gt; Excel  Options -&gt; Add-ins -&gt; Manage [Disabled Items] -&gt;  Go</a:t>
          </a:r>
        </a:p>
        <a:p>
          <a:endParaRPr lang="en-US" sz="1100" baseline="0"/>
        </a:p>
        <a:p>
          <a:r>
            <a:rPr lang="en-US" sz="1100" u="sng"/>
            <a:t>Using Solver:  </a:t>
          </a:r>
        </a:p>
        <a:p>
          <a:r>
            <a:rPr lang="en-US" sz="1100"/>
            <a:t>Select</a:t>
          </a:r>
          <a:r>
            <a:rPr lang="en-US" sz="1100" baseline="0"/>
            <a:t> Data tab.  In Analysis group, select ?=&gt;Solver.  </a:t>
          </a:r>
        </a:p>
        <a:p>
          <a:r>
            <a:rPr lang="en-US" sz="1100" baseline="0"/>
            <a:t>In Solver dialog box, s</a:t>
          </a:r>
          <a:r>
            <a:rPr lang="en-US" sz="1100"/>
            <a:t>et Objective</a:t>
          </a:r>
          <a:r>
            <a:rPr lang="en-US" sz="1100" baseline="0"/>
            <a:t> cell WEITDIFF Equal to 0 by changing MTOGW</a:t>
          </a:r>
          <a:endParaRPr lang="en-US" sz="1100"/>
        </a:p>
        <a:p>
          <a:endParaRPr lang="en-US" sz="1100"/>
        </a:p>
        <a:p>
          <a:endParaRPr lang="en-US" sz="1100"/>
        </a:p>
      </xdr:txBody>
    </xdr:sp>
    <xdr:clientData/>
  </xdr:twoCellAnchor>
  <xdr:twoCellAnchor editAs="oneCell">
    <xdr:from>
      <xdr:col>7</xdr:col>
      <xdr:colOff>243840</xdr:colOff>
      <xdr:row>0</xdr:row>
      <xdr:rowOff>101548</xdr:rowOff>
    </xdr:from>
    <xdr:to>
      <xdr:col>13</xdr:col>
      <xdr:colOff>81888</xdr:colOff>
      <xdr:row>13</xdr:row>
      <xdr:rowOff>45720</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8920" y="101548"/>
          <a:ext cx="3465168" cy="2131112"/>
        </a:xfrm>
        <a:prstGeom prst="rect">
          <a:avLst/>
        </a:prstGeom>
        <a:ln w="12700">
          <a:solidFill>
            <a:schemeClr val="tx1"/>
          </a:solidFill>
        </a:ln>
        <a:effectLst>
          <a:outerShdw blurRad="50800" dist="38100" dir="2700000" algn="tl" rotWithShape="0">
            <a:prstClr val="black">
              <a:alpha val="40000"/>
            </a:prst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916668</xdr:colOff>
      <xdr:row>18</xdr:row>
      <xdr:rowOff>119290</xdr:rowOff>
    </xdr:from>
    <xdr:to>
      <xdr:col>15</xdr:col>
      <xdr:colOff>310242</xdr:colOff>
      <xdr:row>31</xdr:row>
      <xdr:rowOff>12700</xdr:rowOff>
    </xdr:to>
    <xdr:sp macro="" textlink="">
      <xdr:nvSpPr>
        <xdr:cNvPr id="2" name="TextBox 1"/>
        <xdr:cNvSpPr txBox="1"/>
      </xdr:nvSpPr>
      <xdr:spPr>
        <a:xfrm>
          <a:off x="5024211" y="3000375"/>
          <a:ext cx="7536088" cy="2143125"/>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1100" baseline="0">
              <a:solidFill>
                <a:schemeClr val="dk1"/>
              </a:solidFill>
              <a:latin typeface="+mn-lt"/>
              <a:ea typeface="+mn-ea"/>
              <a:cs typeface="+mn-cs"/>
            </a:rPr>
            <a:t>Use this to evaluate points 2 and 4 on a payload-range plot.  Keep MTOGW constant (do this by keeping empty weight constant) and let range be a fallout:</a:t>
          </a:r>
          <a:endParaRPr lang="en-US">
            <a:effectLst/>
          </a:endParaRPr>
        </a:p>
        <a:p>
          <a:pPr eaLnBrk="1" fontAlgn="auto" latinLnBrk="0" hangingPunct="1"/>
          <a:r>
            <a:rPr lang="en-US" sz="1100" baseline="0">
              <a:solidFill>
                <a:schemeClr val="dk1"/>
              </a:solidFill>
              <a:effectLst/>
              <a:latin typeface="+mn-lt"/>
              <a:ea typeface="+mn-ea"/>
              <a:cs typeface="+mn-cs"/>
            </a:rPr>
            <a:t>#  For point 2 estimate the maximum number of pax that the aircraft can carry based on all-economy seating.  Insert this value in cell "Number of pax".</a:t>
          </a:r>
          <a:endParaRPr lang="en-US">
            <a:effectLst/>
          </a:endParaRPr>
        </a:p>
        <a:p>
          <a:pPr eaLnBrk="1" fontAlgn="auto" latinLnBrk="0" hangingPunct="1"/>
          <a:r>
            <a:rPr lang="en-US" sz="1100" baseline="0">
              <a:solidFill>
                <a:schemeClr val="dk1"/>
              </a:solidFill>
              <a:effectLst/>
              <a:latin typeface="+mn-lt"/>
              <a:ea typeface="+mn-ea"/>
              <a:cs typeface="+mn-cs"/>
            </a:rPr>
            <a:t>#  For  point 4 reduce payload (from design point payload) by the same weight as that necessary to fill fuel tanks (from design point). You will have to calculate the total fuel tank volume and find the difference between fuel tank volume and design point fuel volume (inc reserves).</a:t>
          </a:r>
        </a:p>
        <a:p>
          <a:endParaRPr lang="en-US">
            <a:effectLst/>
          </a:endParaRPr>
        </a:p>
        <a:p>
          <a:r>
            <a:rPr lang="en-US" sz="1100" u="sng" baseline="0">
              <a:solidFill>
                <a:schemeClr val="dk1"/>
              </a:solidFill>
              <a:effectLst/>
              <a:latin typeface="+mn-lt"/>
              <a:ea typeface="+mn-ea"/>
              <a:cs typeface="+mn-cs"/>
            </a:rPr>
            <a:t>In  Solver: </a:t>
          </a:r>
          <a:endParaRPr lang="en-US" u="sng">
            <a:effectLst/>
          </a:endParaRPr>
        </a:p>
        <a:p>
          <a:r>
            <a:rPr lang="en-US" sz="1100" baseline="0">
              <a:solidFill>
                <a:schemeClr val="dk1"/>
              </a:solidFill>
              <a:effectLst/>
              <a:latin typeface="+mn-lt"/>
              <a:ea typeface="+mn-ea"/>
              <a:cs typeface="+mn-cs"/>
            </a:rPr>
            <a:t>In Solver dialog box, set Objective 'EW_available' to same value as on Sheet 'Design range' </a:t>
          </a:r>
          <a:endParaRPr lang="en-US">
            <a:effectLst/>
          </a:endParaRPr>
        </a:p>
        <a:p>
          <a:r>
            <a:rPr lang="en-US" sz="1100" baseline="0">
              <a:solidFill>
                <a:schemeClr val="dk1"/>
              </a:solidFill>
              <a:effectLst/>
              <a:latin typeface="+mn-lt"/>
              <a:ea typeface="+mn-ea"/>
              <a:cs typeface="+mn-cs"/>
            </a:rPr>
            <a:t>By Changing Variable Cells 'cruiserange' (cell  C16)</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latin typeface="+mn-lt"/>
            <a:ea typeface="+mn-ea"/>
            <a:cs typeface="+mn-cs"/>
          </a:endParaRPr>
        </a:p>
        <a:p>
          <a:endParaRPr lang="en-US" sz="1100" baseline="0"/>
        </a:p>
        <a:p>
          <a:endParaRPr lang="en-US" sz="1100"/>
        </a:p>
      </xdr:txBody>
    </xdr:sp>
    <xdr:clientData/>
  </xdr:twoCellAnchor>
  <xdr:twoCellAnchor editAs="oneCell">
    <xdr:from>
      <xdr:col>7</xdr:col>
      <xdr:colOff>565268</xdr:colOff>
      <xdr:row>34</xdr:row>
      <xdr:rowOff>45721</xdr:rowOff>
    </xdr:from>
    <xdr:to>
      <xdr:col>15</xdr:col>
      <xdr:colOff>334736</xdr:colOff>
      <xdr:row>49</xdr:row>
      <xdr:rowOff>96884</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86554" y="5640978"/>
          <a:ext cx="4994611" cy="2669177"/>
        </a:xfrm>
        <a:prstGeom prst="rect">
          <a:avLst/>
        </a:prstGeom>
        <a:ln w="12700">
          <a:solidFill>
            <a:schemeClr val="tx1"/>
          </a:solidFill>
        </a:ln>
        <a:effectLst>
          <a:outerShdw blurRad="50800" dist="38100" dir="2700000" algn="tl" rotWithShape="0">
            <a:prstClr val="black">
              <a:alpha val="40000"/>
            </a:prst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238669</xdr:colOff>
      <xdr:row>21</xdr:row>
      <xdr:rowOff>172991</xdr:rowOff>
    </xdr:from>
    <xdr:to>
      <xdr:col>11</xdr:col>
      <xdr:colOff>459014</xdr:colOff>
      <xdr:row>37</xdr:row>
      <xdr:rowOff>174172</xdr:rowOff>
    </xdr:to>
    <xdr:sp macro="" textlink="">
      <xdr:nvSpPr>
        <xdr:cNvPr id="2" name="TextBox 1"/>
        <xdr:cNvSpPr txBox="1"/>
      </xdr:nvSpPr>
      <xdr:spPr>
        <a:xfrm>
          <a:off x="4369798" y="3487691"/>
          <a:ext cx="5614216" cy="2815138"/>
        </a:xfrm>
        <a:prstGeom prst="rect">
          <a:avLst/>
        </a:prstGeom>
        <a:solidFill>
          <a:schemeClr val="lt1"/>
        </a:solidFill>
        <a:ln w="9525"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Note that points 2, 3, and 4</a:t>
          </a:r>
          <a:r>
            <a:rPr lang="en-US" sz="1100" baseline="0"/>
            <a:t> all have the same value of TOGW.  Point 5 has a reduced value of TOGW, so the procedure is different.</a:t>
          </a:r>
        </a:p>
        <a:p>
          <a:endParaRPr lang="en-US" sz="1100" baseline="0"/>
        </a:p>
        <a:p>
          <a:r>
            <a:rPr lang="en-US" sz="1100"/>
            <a:t># To evaluate point 5 on the</a:t>
          </a:r>
          <a:r>
            <a:rPr lang="en-US" sz="1100" baseline="0"/>
            <a:t> payload-range plot</a:t>
          </a:r>
          <a:endParaRPr lang="en-US" sz="1100"/>
        </a:p>
        <a:p>
          <a:r>
            <a:rPr lang="en-US" sz="1100"/>
            <a:t>For max</a:t>
          </a:r>
          <a:r>
            <a:rPr lang="en-US" sz="1100" baseline="0"/>
            <a:t> range with zero payload</a:t>
          </a:r>
        </a:p>
        <a:p>
          <a:endParaRPr lang="en-US" sz="1100" baseline="0"/>
        </a:p>
        <a:p>
          <a:r>
            <a:rPr lang="en-US" sz="1100">
              <a:solidFill>
                <a:schemeClr val="dk1"/>
              </a:solidFill>
              <a:effectLst/>
              <a:latin typeface="+mn-lt"/>
              <a:ea typeface="+mn-ea"/>
              <a:cs typeface="+mn-cs"/>
            </a:rPr>
            <a:t>Set "Number of pax" (Cell C16) to zero</a:t>
          </a:r>
          <a:endParaRPr lang="en-US">
            <a:effectLst/>
          </a:endParaRPr>
        </a:p>
        <a:p>
          <a:r>
            <a:rPr lang="en-US" sz="1100">
              <a:solidFill>
                <a:schemeClr val="dk1"/>
              </a:solidFill>
              <a:effectLst/>
              <a:latin typeface="+mn-lt"/>
              <a:ea typeface="+mn-ea"/>
              <a:cs typeface="+mn-cs"/>
            </a:rPr>
            <a:t>Set</a:t>
          </a:r>
          <a:r>
            <a:rPr lang="en-US" sz="1100" baseline="0">
              <a:solidFill>
                <a:schemeClr val="dk1"/>
              </a:solidFill>
              <a:effectLst/>
              <a:latin typeface="+mn-lt"/>
              <a:ea typeface="+mn-ea"/>
              <a:cs typeface="+mn-cs"/>
            </a:rPr>
            <a:t> "Number of pax from point 4" (Cell G19) to whatever value was calculated for point 4</a:t>
          </a:r>
          <a:r>
            <a:rPr lang="en-US" sz="1100">
              <a:solidFill>
                <a:schemeClr val="dk1"/>
              </a:solidFill>
              <a:effectLst/>
              <a:latin typeface="+mn-lt"/>
              <a:ea typeface="+mn-ea"/>
              <a:cs typeface="+mn-cs"/>
            </a:rPr>
            <a:t> </a:t>
          </a:r>
          <a:endParaRPr lang="en-US">
            <a:effectLst/>
          </a:endParaRPr>
        </a:p>
        <a:p>
          <a:endParaRPr lang="en-US" sz="1100" baseline="0"/>
        </a:p>
        <a:p>
          <a:endParaRPr lang="en-US" sz="1100"/>
        </a:p>
        <a:p>
          <a:r>
            <a:rPr lang="en-US" sz="1100" u="sng"/>
            <a:t>Using Solver:</a:t>
          </a:r>
        </a:p>
        <a:p>
          <a:r>
            <a:rPr lang="en-US" sz="1100"/>
            <a:t>In</a:t>
          </a:r>
          <a:r>
            <a:rPr lang="en-US" sz="1100" baseline="0"/>
            <a:t> Solver dialog box, s</a:t>
          </a:r>
          <a:r>
            <a:rPr lang="en-US" sz="1100"/>
            <a:t>et Objective</a:t>
          </a:r>
          <a:r>
            <a:rPr lang="en-US" sz="1100" baseline="0"/>
            <a:t> (EW_available_maxrange) to same value as on Sheet 'Design range'</a:t>
          </a:r>
        </a:p>
        <a:p>
          <a:r>
            <a:rPr lang="en-US" sz="1100" baseline="0"/>
            <a:t>By Changing Variable Cells 'maxrange'</a:t>
          </a:r>
        </a:p>
      </xdr:txBody>
    </xdr:sp>
    <xdr:clientData/>
  </xdr:twoCellAnchor>
  <xdr:twoCellAnchor>
    <xdr:from>
      <xdr:col>0</xdr:col>
      <xdr:colOff>518160</xdr:colOff>
      <xdr:row>0</xdr:row>
      <xdr:rowOff>114300</xdr:rowOff>
    </xdr:from>
    <xdr:to>
      <xdr:col>6</xdr:col>
      <xdr:colOff>297180</xdr:colOff>
      <xdr:row>7</xdr:row>
      <xdr:rowOff>0</xdr:rowOff>
    </xdr:to>
    <xdr:sp macro="" textlink="">
      <xdr:nvSpPr>
        <xdr:cNvPr id="3" name="TextBox 2"/>
        <xdr:cNvSpPr txBox="1"/>
      </xdr:nvSpPr>
      <xdr:spPr>
        <a:xfrm>
          <a:off x="518160" y="114300"/>
          <a:ext cx="5753100" cy="1059180"/>
        </a:xfrm>
        <a:prstGeom prst="rect">
          <a:avLst/>
        </a:prstGeom>
        <a:solidFill>
          <a:schemeClr val="lt1"/>
        </a:solidFill>
        <a:ln w="9525"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Using sizing spreadsheet</a:t>
          </a:r>
          <a:r>
            <a:rPr lang="en-US" sz="1100" baseline="0"/>
            <a:t> to generate payload-range plot</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53340</xdr:colOff>
      <xdr:row>0</xdr:row>
      <xdr:rowOff>95251</xdr:rowOff>
    </xdr:from>
    <xdr:to>
      <xdr:col>10</xdr:col>
      <xdr:colOff>281940</xdr:colOff>
      <xdr:row>8</xdr:row>
      <xdr:rowOff>60961</xdr:rowOff>
    </xdr:to>
    <xdr:sp macro="" textlink="">
      <xdr:nvSpPr>
        <xdr:cNvPr id="2" name="TextBox 1"/>
        <xdr:cNvSpPr txBox="1"/>
      </xdr:nvSpPr>
      <xdr:spPr>
        <a:xfrm>
          <a:off x="662940" y="95251"/>
          <a:ext cx="6572250" cy="1261110"/>
        </a:xfrm>
        <a:prstGeom prst="rect">
          <a:avLst/>
        </a:prstGeom>
        <a:solidFill>
          <a:schemeClr val="lt1"/>
        </a:solidFill>
        <a:ln w="12700" cmpd="sng">
          <a:solidFill>
            <a:schemeClr val="tx1"/>
          </a:solidFill>
          <a:beve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Calculation</a:t>
          </a:r>
          <a:r>
            <a:rPr lang="en-US" sz="1100" b="1" baseline="0"/>
            <a:t> of coefficients in empty weight equation W</a:t>
          </a:r>
          <a:r>
            <a:rPr lang="en-US" sz="1100" b="1" baseline="-25000"/>
            <a:t>E</a:t>
          </a:r>
          <a:r>
            <a:rPr lang="en-US" sz="1100" b="1" baseline="0"/>
            <a:t> = A*W</a:t>
          </a:r>
          <a:r>
            <a:rPr lang="en-US" sz="1100" b="1" baseline="-25000"/>
            <a:t>TO</a:t>
          </a:r>
          <a:r>
            <a:rPr lang="en-US" sz="1100" b="1" baseline="0"/>
            <a:t>^B</a:t>
          </a:r>
        </a:p>
        <a:p>
          <a:r>
            <a:rPr lang="en-US" sz="1100" baseline="0"/>
            <a:t>If aircraft empty weight vs TOGW data is in a log-log graphical format, with an RMS straight line defining the relationship, then take the empty weight and TOGW values at the ends of the regression line and put them in the cells below (or copy and paste them from the cell blocks on the right).</a:t>
          </a:r>
        </a:p>
        <a:p>
          <a:r>
            <a:rPr lang="en-US" sz="1100"/>
            <a:t>Empty</a:t>
          </a:r>
          <a:r>
            <a:rPr lang="en-US" sz="1100" baseline="0"/>
            <a:t> weight</a:t>
          </a:r>
          <a:r>
            <a:rPr lang="en-US" sz="1100"/>
            <a:t> values at the end of the</a:t>
          </a:r>
          <a:r>
            <a:rPr lang="en-US" sz="1100" baseline="0"/>
            <a:t> regresssion line are adjusted by the Total Reduced Group %MWE to produce adjusted regression line coefficients B' and A'</a:t>
          </a:r>
          <a:endParaRPr lang="en-US" sz="1100"/>
        </a:p>
      </xdr:txBody>
    </xdr:sp>
    <xdr:clientData/>
  </xdr:twoCellAnchor>
  <xdr:twoCellAnchor>
    <xdr:from>
      <xdr:col>0</xdr:col>
      <xdr:colOff>229576</xdr:colOff>
      <xdr:row>36</xdr:row>
      <xdr:rowOff>119772</xdr:rowOff>
    </xdr:from>
    <xdr:to>
      <xdr:col>3</xdr:col>
      <xdr:colOff>193235</xdr:colOff>
      <xdr:row>40</xdr:row>
      <xdr:rowOff>43571</xdr:rowOff>
    </xdr:to>
    <xdr:sp macro="" textlink="">
      <xdr:nvSpPr>
        <xdr:cNvPr id="3" name="TextBox 2"/>
        <xdr:cNvSpPr txBox="1"/>
      </xdr:nvSpPr>
      <xdr:spPr>
        <a:xfrm>
          <a:off x="229576" y="6098541"/>
          <a:ext cx="1790505" cy="588107"/>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Regression</a:t>
          </a:r>
          <a:r>
            <a:rPr lang="en-US" sz="1100" baseline="0"/>
            <a:t> line coefficients adjusted for composites structure</a:t>
          </a:r>
          <a:endParaRPr lang="en-US" sz="1100"/>
        </a:p>
      </xdr:txBody>
    </xdr:sp>
    <xdr:clientData/>
  </xdr:twoCellAnchor>
  <xdr:twoCellAnchor editAs="oneCell">
    <xdr:from>
      <xdr:col>3</xdr:col>
      <xdr:colOff>464041</xdr:colOff>
      <xdr:row>21</xdr:row>
      <xdr:rowOff>76964</xdr:rowOff>
    </xdr:from>
    <xdr:to>
      <xdr:col>11</xdr:col>
      <xdr:colOff>555283</xdr:colOff>
      <xdr:row>44</xdr:row>
      <xdr:rowOff>60526</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90887" y="3564579"/>
          <a:ext cx="5874627" cy="3818572"/>
        </a:xfrm>
        <a:prstGeom prst="rect">
          <a:avLst/>
        </a:prstGeom>
        <a:ln w="12700">
          <a:solidFill>
            <a:schemeClr val="tx1"/>
          </a:solidFill>
        </a:ln>
        <a:effectLst>
          <a:outerShdw blurRad="50800" dist="38100" dir="2700000" algn="tl" rotWithShape="0">
            <a:prstClr val="black">
              <a:alpha val="40000"/>
            </a:prstClr>
          </a:outerShdw>
        </a:effectLst>
      </xdr:spPr>
    </xdr:pic>
    <xdr:clientData/>
  </xdr:twoCellAnchor>
  <xdr:twoCellAnchor>
    <xdr:from>
      <xdr:col>11</xdr:col>
      <xdr:colOff>129540</xdr:colOff>
      <xdr:row>0</xdr:row>
      <xdr:rowOff>114300</xdr:rowOff>
    </xdr:from>
    <xdr:to>
      <xdr:col>17</xdr:col>
      <xdr:colOff>447675</xdr:colOff>
      <xdr:row>8</xdr:row>
      <xdr:rowOff>45721</xdr:rowOff>
    </xdr:to>
    <xdr:sp macro="" textlink="">
      <xdr:nvSpPr>
        <xdr:cNvPr id="7" name="TextBox 6"/>
        <xdr:cNvSpPr txBox="1"/>
      </xdr:nvSpPr>
      <xdr:spPr>
        <a:xfrm>
          <a:off x="7692390" y="114300"/>
          <a:ext cx="3975735" cy="1226821"/>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Regression</a:t>
          </a:r>
          <a:r>
            <a:rPr lang="en-US" sz="1100" baseline="0"/>
            <a:t> line end points from Schaufele (graphs of W</a:t>
          </a:r>
          <a:r>
            <a:rPr lang="en-US" sz="1100" baseline="-25000"/>
            <a:t>E </a:t>
          </a:r>
          <a:r>
            <a:rPr lang="en-US" sz="1100" baseline="0"/>
            <a:t>vs TOGW for different classes of airplane).  Assume that these values represent operating weight empty (OWE), i.e., the weight includes all operating items, which includes flight crew.  Depending on what airplane category you are designing, </a:t>
          </a:r>
          <a:r>
            <a:rPr lang="en-US" sz="1100" b="1" u="sng" baseline="0"/>
            <a:t>copy</a:t>
          </a:r>
          <a:r>
            <a:rPr lang="en-US" sz="1100" b="1" baseline="0"/>
            <a:t> and paste </a:t>
          </a:r>
          <a:r>
            <a:rPr lang="en-US" sz="1100" baseline="0"/>
            <a:t>appropriate cell contents into column C.</a:t>
          </a:r>
        </a:p>
        <a:p>
          <a:r>
            <a:rPr lang="en-US" sz="1100" baseline="0"/>
            <a:t> </a:t>
          </a:r>
          <a:endParaRPr lang="en-US" sz="1100"/>
        </a:p>
      </xdr:txBody>
    </xdr:sp>
    <xdr:clientData/>
  </xdr:twoCellAnchor>
  <xdr:twoCellAnchor>
    <xdr:from>
      <xdr:col>6</xdr:col>
      <xdr:colOff>0</xdr:colOff>
      <xdr:row>21</xdr:row>
      <xdr:rowOff>121920</xdr:rowOff>
    </xdr:from>
    <xdr:to>
      <xdr:col>11</xdr:col>
      <xdr:colOff>0</xdr:colOff>
      <xdr:row>23</xdr:row>
      <xdr:rowOff>45720</xdr:rowOff>
    </xdr:to>
    <xdr:sp macro="" textlink="">
      <xdr:nvSpPr>
        <xdr:cNvPr id="8" name="TextBox 7"/>
        <xdr:cNvSpPr txBox="1"/>
      </xdr:nvSpPr>
      <xdr:spPr>
        <a:xfrm>
          <a:off x="4312920" y="3657600"/>
          <a:ext cx="3329940" cy="25908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Commercial</a:t>
          </a:r>
          <a:r>
            <a:rPr lang="en-US" sz="1100" baseline="0"/>
            <a:t> transports</a:t>
          </a:r>
          <a:endParaRPr lang="en-US" sz="1100"/>
        </a:p>
      </xdr:txBody>
    </xdr:sp>
    <xdr:clientData/>
  </xdr:twoCellAnchor>
  <xdr:twoCellAnchor>
    <xdr:from>
      <xdr:col>12</xdr:col>
      <xdr:colOff>238126</xdr:colOff>
      <xdr:row>17</xdr:row>
      <xdr:rowOff>85724</xdr:rowOff>
    </xdr:from>
    <xdr:to>
      <xdr:col>17</xdr:col>
      <xdr:colOff>485776</xdr:colOff>
      <xdr:row>28</xdr:row>
      <xdr:rowOff>9525</xdr:rowOff>
    </xdr:to>
    <xdr:sp macro="" textlink="">
      <xdr:nvSpPr>
        <xdr:cNvPr id="5" name="TextBox 4"/>
        <xdr:cNvSpPr txBox="1"/>
      </xdr:nvSpPr>
      <xdr:spPr>
        <a:xfrm>
          <a:off x="8410576" y="2857499"/>
          <a:ext cx="3295650" cy="1733551"/>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 use</a:t>
          </a:r>
          <a:r>
            <a:rPr lang="en-US" sz="1100" baseline="0"/>
            <a:t> Raymer's  empty weight equations (Table 3.1), first calculate value of B=1+C.  Then insert equation for W</a:t>
          </a:r>
          <a:r>
            <a:rPr lang="en-US" sz="1100" baseline="-25000"/>
            <a:t>E</a:t>
          </a:r>
          <a:r>
            <a:rPr lang="en-US" sz="1100" baseline="0"/>
            <a:t>= 1.05* A*W</a:t>
          </a:r>
          <a:r>
            <a:rPr lang="en-US" sz="1100" baseline="-25000"/>
            <a:t>TO</a:t>
          </a:r>
          <a:r>
            <a:rPr lang="en-US" sz="1100" baseline="0"/>
            <a:t>^B into cells Wempty1 and Wempty2, referencing TOGW in cells Wtakeoff1 and Wtakeoff2.</a:t>
          </a:r>
        </a:p>
        <a:p>
          <a:r>
            <a:rPr lang="en-US" sz="1100" baseline="0"/>
            <a:t>The factor 1.05 modifies Raymer's values of manufacturer's weight empty (MWE) to operating weight empty (OWE).  OWE is the assumed weight for sizing in this spreadsheet.</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9"/>
  <sheetViews>
    <sheetView tabSelected="1" zoomScaleNormal="100" workbookViewId="0">
      <selection activeCell="G47" sqref="G47"/>
    </sheetView>
  </sheetViews>
  <sheetFormatPr defaultRowHeight="12.45" x14ac:dyDescent="0.3"/>
  <cols>
    <col min="1" max="1" width="26.69140625" style="3" bestFit="1" customWidth="1"/>
    <col min="2" max="2" width="8.15234375" style="1" bestFit="1" customWidth="1"/>
    <col min="3" max="3" width="12.3828125" style="1" bestFit="1" customWidth="1"/>
    <col min="4" max="4" width="8.84375" style="1" customWidth="1"/>
    <col min="5" max="5" width="5" style="1" bestFit="1" customWidth="1"/>
    <col min="6" max="6" width="22" style="5" bestFit="1" customWidth="1"/>
    <col min="7" max="7" width="9.53515625" style="1" customWidth="1"/>
    <col min="8" max="8" width="10.84375" style="1" bestFit="1" customWidth="1"/>
    <col min="9" max="9" width="5.53515625" style="1" bestFit="1" customWidth="1"/>
    <col min="10" max="13" width="9.15234375" style="1"/>
  </cols>
  <sheetData>
    <row r="1" spans="1:12" s="2" customFormat="1" x14ac:dyDescent="0.3"/>
    <row r="8" spans="1:12" x14ac:dyDescent="0.3">
      <c r="A8" s="30" t="s">
        <v>118</v>
      </c>
    </row>
    <row r="9" spans="1:12" ht="12.9" thickBot="1" x14ac:dyDescent="0.35"/>
    <row r="10" spans="1:12" x14ac:dyDescent="0.3">
      <c r="A10" s="19" t="s">
        <v>18</v>
      </c>
      <c r="B10" s="20" t="s">
        <v>16</v>
      </c>
      <c r="C10" s="21" t="s">
        <v>17</v>
      </c>
      <c r="D10" s="2"/>
      <c r="E10" s="2"/>
      <c r="F10" s="29"/>
      <c r="G10" s="14" t="s">
        <v>22</v>
      </c>
      <c r="H10" s="2"/>
      <c r="I10" s="2"/>
      <c r="J10" s="2"/>
      <c r="K10" s="2"/>
      <c r="L10" s="2"/>
    </row>
    <row r="11" spans="1:12" x14ac:dyDescent="0.3">
      <c r="A11" s="22" t="s">
        <v>31</v>
      </c>
      <c r="B11" s="16" t="s">
        <v>19</v>
      </c>
      <c r="C11" s="53">
        <v>35000</v>
      </c>
      <c r="F11" s="18" t="s">
        <v>134</v>
      </c>
      <c r="G11" s="61">
        <v>230</v>
      </c>
    </row>
    <row r="12" spans="1:12" x14ac:dyDescent="0.3">
      <c r="A12" s="22" t="s">
        <v>29</v>
      </c>
      <c r="B12" s="16" t="s">
        <v>13</v>
      </c>
      <c r="C12" s="54">
        <v>0.8</v>
      </c>
      <c r="F12" s="18" t="s">
        <v>133</v>
      </c>
      <c r="G12" s="61">
        <v>0</v>
      </c>
    </row>
    <row r="13" spans="1:12" x14ac:dyDescent="0.3">
      <c r="A13" s="22" t="s">
        <v>44</v>
      </c>
      <c r="B13" s="16" t="s">
        <v>42</v>
      </c>
      <c r="C13" s="63">
        <f>SQRT(C14*Definitions!G5*Definitions!G4*Definitions!G2)</f>
        <v>972.84631401727586</v>
      </c>
      <c r="F13" s="18" t="s">
        <v>131</v>
      </c>
      <c r="G13" s="61">
        <v>205</v>
      </c>
      <c r="H13" s="4"/>
      <c r="I13" s="4"/>
    </row>
    <row r="14" spans="1:12" x14ac:dyDescent="0.3">
      <c r="A14" s="22" t="s">
        <v>45</v>
      </c>
      <c r="B14" s="16" t="s">
        <v>37</v>
      </c>
      <c r="C14" s="63">
        <f>((Definitions!G1*'Design range'!C11)+Definitions!G3)</f>
        <v>393.89000000000004</v>
      </c>
      <c r="F14" s="18" t="s">
        <v>132</v>
      </c>
      <c r="G14" s="61">
        <v>30</v>
      </c>
      <c r="H14" s="4"/>
      <c r="I14" s="4"/>
    </row>
    <row r="15" spans="1:12" x14ac:dyDescent="0.3">
      <c r="A15" s="23" t="s">
        <v>86</v>
      </c>
      <c r="B15" s="16"/>
      <c r="C15" s="53">
        <v>250</v>
      </c>
      <c r="F15" s="18" t="s">
        <v>135</v>
      </c>
      <c r="G15" s="13">
        <f>G11*G12</f>
        <v>0</v>
      </c>
    </row>
    <row r="16" spans="1:12" s="2" customFormat="1" x14ac:dyDescent="0.3">
      <c r="A16" s="22" t="s">
        <v>26</v>
      </c>
      <c r="B16" s="16" t="s">
        <v>20</v>
      </c>
      <c r="C16" s="53">
        <v>6000</v>
      </c>
      <c r="D16" s="1"/>
      <c r="E16" s="1"/>
      <c r="F16" s="15" t="s">
        <v>30</v>
      </c>
      <c r="G16" s="13">
        <f>npax*(G13+G14)</f>
        <v>58750</v>
      </c>
      <c r="H16" s="1"/>
      <c r="I16" s="1"/>
      <c r="J16" s="1"/>
      <c r="K16" s="1"/>
      <c r="L16" s="1"/>
    </row>
    <row r="17" spans="1:12" x14ac:dyDescent="0.3">
      <c r="A17" s="22" t="s">
        <v>27</v>
      </c>
      <c r="B17" s="16" t="s">
        <v>20</v>
      </c>
      <c r="C17" s="64">
        <f>0.1*C16</f>
        <v>600</v>
      </c>
      <c r="F17" s="15" t="s">
        <v>23</v>
      </c>
      <c r="G17" s="13">
        <f>(G15+G16)</f>
        <v>58750</v>
      </c>
    </row>
    <row r="18" spans="1:12" x14ac:dyDescent="0.3">
      <c r="A18" s="22" t="s">
        <v>28</v>
      </c>
      <c r="B18" s="16" t="s">
        <v>20</v>
      </c>
      <c r="C18" s="53">
        <v>150</v>
      </c>
    </row>
    <row r="19" spans="1:12" x14ac:dyDescent="0.3">
      <c r="A19" s="22" t="s">
        <v>43</v>
      </c>
      <c r="B19" s="16" t="s">
        <v>41</v>
      </c>
      <c r="C19" s="54">
        <v>0.5</v>
      </c>
    </row>
    <row r="20" spans="1:12" x14ac:dyDescent="0.3">
      <c r="A20" s="22" t="s">
        <v>24</v>
      </c>
      <c r="B20" s="16" t="s">
        <v>13</v>
      </c>
      <c r="C20" s="54">
        <v>16</v>
      </c>
    </row>
    <row r="21" spans="1:12" x14ac:dyDescent="0.3">
      <c r="A21" s="23" t="s">
        <v>124</v>
      </c>
      <c r="B21" s="16" t="s">
        <v>25</v>
      </c>
      <c r="C21" s="54">
        <v>0.56999999999999995</v>
      </c>
    </row>
    <row r="22" spans="1:12" ht="14.6" thickBot="1" x14ac:dyDescent="0.45">
      <c r="A22" s="24" t="s">
        <v>46</v>
      </c>
      <c r="B22" s="25" t="s">
        <v>25</v>
      </c>
      <c r="C22" s="26">
        <f>0.8*C21</f>
        <v>0.45599999999999996</v>
      </c>
    </row>
    <row r="24" spans="1:12" x14ac:dyDescent="0.3">
      <c r="A24" s="30" t="s">
        <v>119</v>
      </c>
    </row>
    <row r="25" spans="1:12" ht="12.9" thickBot="1" x14ac:dyDescent="0.35"/>
    <row r="26" spans="1:12" ht="14.15" x14ac:dyDescent="0.4">
      <c r="A26" s="94" t="s">
        <v>59</v>
      </c>
      <c r="B26" s="95" t="s">
        <v>139</v>
      </c>
      <c r="C26" s="95" t="s">
        <v>17</v>
      </c>
      <c r="D26" s="96" t="s">
        <v>81</v>
      </c>
      <c r="E26" s="2"/>
      <c r="F26" s="2"/>
      <c r="G26" s="2"/>
      <c r="H26" s="2"/>
      <c r="I26" s="2"/>
      <c r="J26" s="2"/>
      <c r="K26" s="2"/>
      <c r="L26" s="2"/>
    </row>
    <row r="27" spans="1:12" x14ac:dyDescent="0.3">
      <c r="A27" s="23" t="s">
        <v>7</v>
      </c>
      <c r="B27" s="80"/>
      <c r="C27" s="80" t="s">
        <v>140</v>
      </c>
      <c r="D27" s="97">
        <v>860878.02545295714</v>
      </c>
      <c r="E27" s="2"/>
      <c r="F27" s="2"/>
      <c r="G27" s="2"/>
      <c r="H27" s="2"/>
      <c r="I27" s="2"/>
      <c r="J27" s="2"/>
      <c r="K27" s="2"/>
      <c r="L27" s="2"/>
    </row>
    <row r="28" spans="1:12" ht="14.15" x14ac:dyDescent="0.4">
      <c r="A28" s="23" t="s">
        <v>47</v>
      </c>
      <c r="B28" s="80" t="s">
        <v>63</v>
      </c>
      <c r="C28" s="60">
        <v>0.99</v>
      </c>
      <c r="D28" s="98">
        <f>C28*D27</f>
        <v>852269.24519842758</v>
      </c>
    </row>
    <row r="29" spans="1:12" ht="14.15" x14ac:dyDescent="0.4">
      <c r="A29" s="23" t="s">
        <v>48</v>
      </c>
      <c r="B29" s="80" t="s">
        <v>61</v>
      </c>
      <c r="C29" s="60">
        <v>0.99</v>
      </c>
      <c r="D29" s="98">
        <f t="shared" ref="D29:D44" si="0">C29*D28</f>
        <v>843746.55274644331</v>
      </c>
    </row>
    <row r="30" spans="1:12" ht="14.15" x14ac:dyDescent="0.4">
      <c r="A30" s="23" t="s">
        <v>49</v>
      </c>
      <c r="B30" s="80" t="s">
        <v>62</v>
      </c>
      <c r="C30" s="60">
        <v>0.995</v>
      </c>
      <c r="D30" s="98">
        <f t="shared" si="0"/>
        <v>839527.81998271111</v>
      </c>
    </row>
    <row r="31" spans="1:12" ht="14.15" x14ac:dyDescent="0.4">
      <c r="A31" s="23" t="s">
        <v>50</v>
      </c>
      <c r="B31" s="80" t="s">
        <v>64</v>
      </c>
      <c r="C31" s="60">
        <v>0.98</v>
      </c>
      <c r="D31" s="98">
        <f t="shared" si="0"/>
        <v>822737.26358305686</v>
      </c>
    </row>
    <row r="32" spans="1:12" ht="14.15" x14ac:dyDescent="0.4">
      <c r="A32" s="23" t="s">
        <v>51</v>
      </c>
      <c r="B32" s="80" t="s">
        <v>65</v>
      </c>
      <c r="C32" s="81">
        <f>EXP(-((range*sfc)/(Mcruise*a/1.69*LoD)))</f>
        <v>0.62866908005790167</v>
      </c>
      <c r="D32" s="98">
        <f t="shared" si="0"/>
        <v>517229.47862611571</v>
      </c>
    </row>
    <row r="33" spans="1:11" ht="14.15" x14ac:dyDescent="0.4">
      <c r="A33" s="23" t="s">
        <v>52</v>
      </c>
      <c r="B33" s="80" t="s">
        <v>66</v>
      </c>
      <c r="C33" s="60">
        <v>0.99</v>
      </c>
      <c r="D33" s="98">
        <f t="shared" si="0"/>
        <v>512057.18383985455</v>
      </c>
    </row>
    <row r="34" spans="1:11" ht="14.15" x14ac:dyDescent="0.4">
      <c r="A34" s="23" t="s">
        <v>53</v>
      </c>
      <c r="B34" s="80" t="s">
        <v>67</v>
      </c>
      <c r="C34" s="60">
        <v>0.99</v>
      </c>
      <c r="D34" s="98">
        <f t="shared" si="0"/>
        <v>506936.61200145603</v>
      </c>
    </row>
    <row r="35" spans="1:11" ht="14.15" x14ac:dyDescent="0.4">
      <c r="A35" s="23" t="s">
        <v>54</v>
      </c>
      <c r="B35" s="80" t="s">
        <v>68</v>
      </c>
      <c r="C35" s="60">
        <v>0.995</v>
      </c>
      <c r="D35" s="98">
        <f t="shared" si="0"/>
        <v>504401.92894144874</v>
      </c>
    </row>
    <row r="36" spans="1:11" ht="14.15" x14ac:dyDescent="0.4">
      <c r="A36" s="23" t="s">
        <v>50</v>
      </c>
      <c r="B36" s="80" t="s">
        <v>69</v>
      </c>
      <c r="C36" s="60">
        <v>0.98</v>
      </c>
      <c r="D36" s="98">
        <f t="shared" si="0"/>
        <v>494313.89036261977</v>
      </c>
    </row>
    <row r="37" spans="1:11" ht="14.15" x14ac:dyDescent="0.4">
      <c r="A37" s="23" t="s">
        <v>55</v>
      </c>
      <c r="B37" s="80" t="s">
        <v>70</v>
      </c>
      <c r="C37" s="81">
        <f>EXP(-((C17*C21)/(C12*C13/1.69*C20)))</f>
        <v>0.95464567665452826</v>
      </c>
      <c r="D37" s="98">
        <f t="shared" si="0"/>
        <v>471894.61834495544</v>
      </c>
    </row>
    <row r="38" spans="1:11" ht="14.6" thickBot="1" x14ac:dyDescent="0.45">
      <c r="A38" s="23" t="s">
        <v>52</v>
      </c>
      <c r="B38" s="80" t="s">
        <v>71</v>
      </c>
      <c r="C38" s="60">
        <v>0.99</v>
      </c>
      <c r="D38" s="98">
        <f t="shared" si="0"/>
        <v>467175.67216150591</v>
      </c>
    </row>
    <row r="39" spans="1:11" ht="14.15" x14ac:dyDescent="0.4">
      <c r="A39" s="23" t="s">
        <v>50</v>
      </c>
      <c r="B39" s="80" t="s">
        <v>72</v>
      </c>
      <c r="C39" s="60">
        <v>0.98</v>
      </c>
      <c r="D39" s="98">
        <f t="shared" si="0"/>
        <v>457832.15871827578</v>
      </c>
      <c r="F39" s="124" t="s">
        <v>143</v>
      </c>
      <c r="G39" s="125"/>
    </row>
    <row r="40" spans="1:11" ht="14.15" x14ac:dyDescent="0.4">
      <c r="A40" s="23" t="s">
        <v>56</v>
      </c>
      <c r="B40" s="80" t="s">
        <v>73</v>
      </c>
      <c r="C40" s="81">
        <f>EXP(-((C18*C21)/(C12*C13/1.69*C20)))</f>
        <v>0.9884633072965725</v>
      </c>
      <c r="D40" s="98">
        <f t="shared" si="0"/>
        <v>452550.28979339619</v>
      </c>
      <c r="F40" s="126"/>
      <c r="G40" s="127"/>
    </row>
    <row r="41" spans="1:11" ht="14.15" x14ac:dyDescent="0.4">
      <c r="A41" s="23" t="s">
        <v>52</v>
      </c>
      <c r="B41" s="80" t="s">
        <v>74</v>
      </c>
      <c r="C41" s="60">
        <v>0.99</v>
      </c>
      <c r="D41" s="98">
        <f t="shared" si="0"/>
        <v>448024.78689546225</v>
      </c>
      <c r="F41" s="128"/>
      <c r="G41" s="129"/>
    </row>
    <row r="42" spans="1:11" ht="14.15" x14ac:dyDescent="0.4">
      <c r="A42" s="23" t="s">
        <v>57</v>
      </c>
      <c r="B42" s="80" t="s">
        <v>75</v>
      </c>
      <c r="C42" s="82">
        <f>EXP(-(E*Cloiter/LoD))</f>
        <v>0.98585105068977663</v>
      </c>
      <c r="D42" s="98">
        <f t="shared" si="0"/>
        <v>441685.70689595473</v>
      </c>
      <c r="F42" s="76" t="s">
        <v>116</v>
      </c>
      <c r="G42" s="49">
        <f>'Empty Weight =n'!C36</f>
        <v>6.5791027617126412</v>
      </c>
    </row>
    <row r="43" spans="1:11" ht="14.6" thickBot="1" x14ac:dyDescent="0.45">
      <c r="A43" s="23" t="s">
        <v>53</v>
      </c>
      <c r="B43" s="80" t="s">
        <v>76</v>
      </c>
      <c r="C43" s="60">
        <v>0.99199999999999999</v>
      </c>
      <c r="D43" s="98">
        <f t="shared" si="0"/>
        <v>438152.22124078707</v>
      </c>
      <c r="F43" s="78" t="s">
        <v>117</v>
      </c>
      <c r="G43" s="85">
        <f>'Empty Weight =n'!C35</f>
        <v>0.80133704285738949</v>
      </c>
    </row>
    <row r="44" spans="1:11" ht="14.6" thickBot="1" x14ac:dyDescent="0.45">
      <c r="A44" s="99" t="s">
        <v>58</v>
      </c>
      <c r="B44" s="100" t="s">
        <v>77</v>
      </c>
      <c r="C44" s="101">
        <v>0.99</v>
      </c>
      <c r="D44" s="102">
        <f t="shared" si="0"/>
        <v>433770.69902837917</v>
      </c>
    </row>
    <row r="45" spans="1:11" x14ac:dyDescent="0.3">
      <c r="A45" s="90"/>
      <c r="B45" s="91"/>
      <c r="C45" s="92"/>
      <c r="D45" s="93"/>
      <c r="K45" s="7"/>
    </row>
    <row r="46" spans="1:11" ht="14.6" thickBot="1" x14ac:dyDescent="0.45">
      <c r="A46" s="84" t="s">
        <v>78</v>
      </c>
      <c r="B46" s="104" t="s">
        <v>79</v>
      </c>
      <c r="C46" s="105">
        <f>(C28*C29*C30*C31*C32*C33*C34*C35*C36*C37*C38*C39*C40*C41*C42*C43*C44)</f>
        <v>0.50387010262010989</v>
      </c>
      <c r="D46" s="106"/>
    </row>
    <row r="47" spans="1:11" ht="12.9" thickBot="1" x14ac:dyDescent="0.35">
      <c r="A47" s="107" t="s">
        <v>90</v>
      </c>
      <c r="B47" s="108"/>
      <c r="C47" s="109"/>
      <c r="D47" s="110">
        <f>D44-Payload</f>
        <v>375020.69902837917</v>
      </c>
      <c r="F47" s="73" t="s">
        <v>92</v>
      </c>
      <c r="G47" s="83">
        <f>CoeffA*TOGW^CoeffB</f>
        <v>375020.6990290914</v>
      </c>
    </row>
    <row r="48" spans="1:11" ht="12.9" thickBot="1" x14ac:dyDescent="0.35">
      <c r="D48" s="8"/>
    </row>
    <row r="49" spans="1:4" ht="12.9" thickBot="1" x14ac:dyDescent="0.35">
      <c r="A49" s="9" t="s">
        <v>91</v>
      </c>
      <c r="C49" s="32" t="s">
        <v>138</v>
      </c>
      <c r="D49" s="43">
        <f>D47-G47</f>
        <v>-7.1222893893718719E-7</v>
      </c>
    </row>
  </sheetData>
  <mergeCells count="1">
    <mergeCell ref="F39:G41"/>
  </mergeCells>
  <phoneticPr fontId="0" type="noConversion"/>
  <pageMargins left="0.75" right="0.75" top="1" bottom="1" header="0.5" footer="0.5"/>
  <pageSetup orientation="portrait" horizontalDpi="4294967293" verticalDpi="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B1" workbookViewId="0">
      <selection activeCell="G3" sqref="G3"/>
    </sheetView>
  </sheetViews>
  <sheetFormatPr defaultRowHeight="12.45" x14ac:dyDescent="0.3"/>
  <cols>
    <col min="1" max="1" width="18.69140625" bestFit="1" customWidth="1"/>
    <col min="2" max="2" width="20.3828125" bestFit="1" customWidth="1"/>
    <col min="3" max="3" width="8.3046875" bestFit="1" customWidth="1"/>
    <col min="5" max="5" width="22.69140625" bestFit="1" customWidth="1"/>
    <col min="6" max="6" width="4.53515625" bestFit="1" customWidth="1"/>
    <col min="7" max="7" width="9.53515625" bestFit="1" customWidth="1"/>
  </cols>
  <sheetData>
    <row r="1" spans="1:7" x14ac:dyDescent="0.3">
      <c r="A1" t="s">
        <v>3</v>
      </c>
      <c r="B1" t="s">
        <v>11</v>
      </c>
      <c r="C1" t="s">
        <v>0</v>
      </c>
      <c r="E1" s="5" t="s">
        <v>32</v>
      </c>
      <c r="F1" s="1" t="s">
        <v>33</v>
      </c>
      <c r="G1" s="62">
        <v>-3.5660000000000002E-3</v>
      </c>
    </row>
    <row r="2" spans="1:7" x14ac:dyDescent="0.3">
      <c r="A2" t="s">
        <v>4</v>
      </c>
      <c r="B2" s="12" t="s">
        <v>122</v>
      </c>
      <c r="C2" t="s">
        <v>1</v>
      </c>
      <c r="E2" s="5" t="s">
        <v>34</v>
      </c>
      <c r="F2" s="1" t="s">
        <v>35</v>
      </c>
      <c r="G2" s="62">
        <v>53.35</v>
      </c>
    </row>
    <row r="3" spans="1:7" x14ac:dyDescent="0.3">
      <c r="A3" t="s">
        <v>2</v>
      </c>
      <c r="B3" t="s">
        <v>12</v>
      </c>
      <c r="C3" t="s">
        <v>5</v>
      </c>
      <c r="E3" s="5" t="s">
        <v>36</v>
      </c>
      <c r="F3" s="1" t="s">
        <v>37</v>
      </c>
      <c r="G3" s="62">
        <v>518.70000000000005</v>
      </c>
    </row>
    <row r="4" spans="1:7" ht="14.15" x14ac:dyDescent="0.3">
      <c r="A4" t="s">
        <v>6</v>
      </c>
      <c r="B4" s="12" t="s">
        <v>136</v>
      </c>
      <c r="C4" s="12" t="s">
        <v>121</v>
      </c>
      <c r="E4" s="5" t="s">
        <v>38</v>
      </c>
      <c r="F4" s="1" t="s">
        <v>40</v>
      </c>
      <c r="G4" s="62">
        <v>32.17</v>
      </c>
    </row>
    <row r="5" spans="1:7" x14ac:dyDescent="0.3">
      <c r="A5" t="s">
        <v>10</v>
      </c>
      <c r="B5" t="s">
        <v>14</v>
      </c>
      <c r="C5" t="s">
        <v>7</v>
      </c>
      <c r="E5" s="5" t="s">
        <v>39</v>
      </c>
      <c r="F5" s="1" t="s">
        <v>13</v>
      </c>
      <c r="G5" s="62">
        <v>1.4</v>
      </c>
    </row>
    <row r="7" spans="1:7" x14ac:dyDescent="0.3">
      <c r="A7" t="s">
        <v>9</v>
      </c>
      <c r="B7" t="s">
        <v>15</v>
      </c>
      <c r="C7" t="s">
        <v>8</v>
      </c>
    </row>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9:H51"/>
  <sheetViews>
    <sheetView topLeftCell="A29" zoomScaleNormal="100" workbookViewId="0">
      <selection activeCell="C15" sqref="C15"/>
    </sheetView>
  </sheetViews>
  <sheetFormatPr defaultRowHeight="12.45" x14ac:dyDescent="0.3"/>
  <cols>
    <col min="1" max="1" width="29.84375" customWidth="1"/>
    <col min="4" max="4" width="9.69140625" customWidth="1"/>
    <col min="5" max="5" width="18.3828125" customWidth="1"/>
    <col min="6" max="6" width="13.53515625" customWidth="1"/>
  </cols>
  <sheetData>
    <row r="9" spans="1:8" ht="12.9" thickBot="1" x14ac:dyDescent="0.35">
      <c r="A9" s="3"/>
      <c r="B9" s="1"/>
      <c r="C9" s="1"/>
      <c r="D9" s="1"/>
      <c r="E9" s="1"/>
      <c r="F9" s="5"/>
      <c r="G9" s="1"/>
    </row>
    <row r="10" spans="1:8" x14ac:dyDescent="0.3">
      <c r="A10" s="19" t="s">
        <v>18</v>
      </c>
      <c r="B10" s="20" t="s">
        <v>16</v>
      </c>
      <c r="C10" s="21" t="s">
        <v>17</v>
      </c>
      <c r="D10" s="2"/>
      <c r="E10" s="29"/>
      <c r="F10" s="14" t="s">
        <v>22</v>
      </c>
      <c r="H10" s="2"/>
    </row>
    <row r="11" spans="1:8" x14ac:dyDescent="0.3">
      <c r="A11" s="22" t="s">
        <v>31</v>
      </c>
      <c r="B11" s="16" t="s">
        <v>19</v>
      </c>
      <c r="C11" s="66">
        <f>'Design range'!C11</f>
        <v>35000</v>
      </c>
      <c r="D11" s="1"/>
      <c r="E11" s="18" t="s">
        <v>134</v>
      </c>
      <c r="F11" s="13">
        <f>'Design range'!G11</f>
        <v>230</v>
      </c>
      <c r="H11" s="1"/>
    </row>
    <row r="12" spans="1:8" x14ac:dyDescent="0.3">
      <c r="A12" s="22" t="s">
        <v>29</v>
      </c>
      <c r="B12" s="16" t="s">
        <v>13</v>
      </c>
      <c r="C12" s="49">
        <f>'Design range'!C12</f>
        <v>0.8</v>
      </c>
      <c r="D12" s="1"/>
      <c r="E12" s="18" t="s">
        <v>133</v>
      </c>
      <c r="F12" s="13">
        <f>'Design range'!G12</f>
        <v>0</v>
      </c>
      <c r="H12" s="1"/>
    </row>
    <row r="13" spans="1:8" x14ac:dyDescent="0.3">
      <c r="A13" s="22" t="s">
        <v>44</v>
      </c>
      <c r="B13" s="16" t="s">
        <v>42</v>
      </c>
      <c r="C13" s="49">
        <f>'Design range'!C13</f>
        <v>972.84631401727586</v>
      </c>
      <c r="D13" s="1"/>
      <c r="E13" s="18" t="s">
        <v>131</v>
      </c>
      <c r="F13" s="13">
        <f>'Design range'!G13</f>
        <v>205</v>
      </c>
      <c r="H13" s="4"/>
    </row>
    <row r="14" spans="1:8" x14ac:dyDescent="0.3">
      <c r="A14" s="22" t="s">
        <v>45</v>
      </c>
      <c r="B14" s="16" t="s">
        <v>37</v>
      </c>
      <c r="C14" s="49">
        <f>'Design range'!C14</f>
        <v>393.89000000000004</v>
      </c>
      <c r="D14" s="1"/>
      <c r="E14" s="18" t="s">
        <v>132</v>
      </c>
      <c r="F14" s="13">
        <f>'Design range'!G14</f>
        <v>30</v>
      </c>
      <c r="H14" s="4"/>
    </row>
    <row r="15" spans="1:8" x14ac:dyDescent="0.3">
      <c r="A15" s="23" t="s">
        <v>86</v>
      </c>
      <c r="B15" s="16"/>
      <c r="C15" s="53">
        <v>200</v>
      </c>
      <c r="D15" s="1"/>
      <c r="E15" s="18" t="s">
        <v>135</v>
      </c>
      <c r="F15" s="13">
        <f>F11*F12</f>
        <v>0</v>
      </c>
      <c r="H15" s="1"/>
    </row>
    <row r="16" spans="1:8" x14ac:dyDescent="0.3">
      <c r="A16" s="23" t="s">
        <v>26</v>
      </c>
      <c r="B16" s="16" t="s">
        <v>20</v>
      </c>
      <c r="C16" s="67">
        <v>6333.2055578105201</v>
      </c>
      <c r="D16" s="1"/>
      <c r="E16" s="15" t="s">
        <v>30</v>
      </c>
      <c r="F16" s="13">
        <f>numpax*(F13+F14)</f>
        <v>47000</v>
      </c>
      <c r="H16" s="1"/>
    </row>
    <row r="17" spans="1:8" x14ac:dyDescent="0.3">
      <c r="A17" s="23" t="s">
        <v>87</v>
      </c>
      <c r="B17" s="16" t="s">
        <v>20</v>
      </c>
      <c r="C17" s="66">
        <f>0.1*cruiserange</f>
        <v>633.32055578105201</v>
      </c>
      <c r="D17" s="1"/>
      <c r="E17" s="15" t="s">
        <v>23</v>
      </c>
      <c r="F17" s="13">
        <f>(F15+F16)</f>
        <v>47000</v>
      </c>
      <c r="H17" s="1"/>
    </row>
    <row r="18" spans="1:8" x14ac:dyDescent="0.3">
      <c r="A18" s="22" t="s">
        <v>28</v>
      </c>
      <c r="B18" s="16" t="s">
        <v>20</v>
      </c>
      <c r="C18" s="66">
        <f>'Design range'!C18</f>
        <v>150</v>
      </c>
      <c r="D18" s="1"/>
      <c r="E18" s="1"/>
      <c r="F18" s="5"/>
      <c r="G18" s="1"/>
      <c r="H18" s="1"/>
    </row>
    <row r="19" spans="1:8" x14ac:dyDescent="0.3">
      <c r="A19" s="22" t="s">
        <v>43</v>
      </c>
      <c r="B19" s="16" t="s">
        <v>41</v>
      </c>
      <c r="C19" s="49">
        <f>'Design range'!C19</f>
        <v>0.5</v>
      </c>
      <c r="D19" s="1"/>
      <c r="E19" s="1"/>
      <c r="F19" s="5"/>
      <c r="G19" s="1"/>
      <c r="H19" s="1"/>
    </row>
    <row r="20" spans="1:8" x14ac:dyDescent="0.3">
      <c r="A20" s="22" t="s">
        <v>24</v>
      </c>
      <c r="B20" s="16" t="s">
        <v>13</v>
      </c>
      <c r="C20" s="49">
        <f>'Design range'!C20</f>
        <v>16</v>
      </c>
      <c r="D20" s="1"/>
      <c r="E20" s="1"/>
      <c r="F20" s="5"/>
      <c r="G20" s="1"/>
      <c r="H20" s="1"/>
    </row>
    <row r="21" spans="1:8" x14ac:dyDescent="0.3">
      <c r="A21" s="22" t="s">
        <v>21</v>
      </c>
      <c r="B21" s="16" t="s">
        <v>25</v>
      </c>
      <c r="C21" s="49">
        <f>'Design range'!C21</f>
        <v>0.56999999999999995</v>
      </c>
      <c r="D21" s="1"/>
      <c r="E21" s="1"/>
      <c r="F21" s="5"/>
      <c r="G21" s="1"/>
      <c r="H21" s="1"/>
    </row>
    <row r="22" spans="1:8" ht="14.6" thickBot="1" x14ac:dyDescent="0.45">
      <c r="A22" s="24" t="s">
        <v>46</v>
      </c>
      <c r="B22" s="25" t="s">
        <v>25</v>
      </c>
      <c r="C22" s="26">
        <f>0.8*C21</f>
        <v>0.45599999999999996</v>
      </c>
      <c r="D22" s="1"/>
      <c r="E22" s="1"/>
      <c r="F22" s="5"/>
      <c r="G22" s="1"/>
      <c r="H22" s="1"/>
    </row>
    <row r="23" spans="1:8" x14ac:dyDescent="0.3">
      <c r="A23" s="3"/>
      <c r="B23" s="1"/>
      <c r="C23" s="1"/>
      <c r="D23" s="1"/>
      <c r="E23" s="1"/>
      <c r="F23" s="5"/>
      <c r="G23" s="1"/>
      <c r="H23" s="1"/>
    </row>
    <row r="24" spans="1:8" ht="12.9" thickBot="1" x14ac:dyDescent="0.35">
      <c r="A24" s="3"/>
      <c r="B24" s="1"/>
      <c r="C24" s="1"/>
      <c r="D24" s="1"/>
      <c r="E24" s="1"/>
      <c r="F24" s="5"/>
      <c r="G24" s="1"/>
      <c r="H24" s="1"/>
    </row>
    <row r="25" spans="1:8" ht="15" x14ac:dyDescent="0.45">
      <c r="A25" s="19" t="s">
        <v>59</v>
      </c>
      <c r="B25" s="20" t="s">
        <v>60</v>
      </c>
      <c r="C25" s="20" t="s">
        <v>17</v>
      </c>
      <c r="D25" s="21" t="s">
        <v>81</v>
      </c>
      <c r="E25" s="2"/>
      <c r="F25" s="2"/>
      <c r="G25" s="2"/>
      <c r="H25" s="2"/>
    </row>
    <row r="26" spans="1:8" x14ac:dyDescent="0.3">
      <c r="A26" s="23" t="s">
        <v>7</v>
      </c>
      <c r="B26" s="14"/>
      <c r="C26" s="14"/>
      <c r="D26" s="68">
        <f>MTOGW</f>
        <v>860878.02545295714</v>
      </c>
      <c r="E26" s="2"/>
      <c r="F26" s="2"/>
      <c r="G26" s="2"/>
      <c r="H26" s="2"/>
    </row>
    <row r="27" spans="1:8" ht="14.15" x14ac:dyDescent="0.4">
      <c r="A27" s="22" t="s">
        <v>47</v>
      </c>
      <c r="B27" s="27" t="s">
        <v>63</v>
      </c>
      <c r="C27" s="17">
        <f>'Design range'!C28</f>
        <v>0.99</v>
      </c>
      <c r="D27" s="69">
        <f>C27*D26</f>
        <v>852269.24519842758</v>
      </c>
      <c r="E27" s="1"/>
      <c r="F27" s="5"/>
      <c r="G27" s="1"/>
      <c r="H27" s="1"/>
    </row>
    <row r="28" spans="1:8" ht="14.15" x14ac:dyDescent="0.4">
      <c r="A28" s="22" t="s">
        <v>48</v>
      </c>
      <c r="B28" s="27" t="s">
        <v>61</v>
      </c>
      <c r="C28" s="17">
        <f>'Design range'!C29</f>
        <v>0.99</v>
      </c>
      <c r="D28" s="69">
        <f t="shared" ref="D28:D43" si="0">C28*D27</f>
        <v>843746.55274644331</v>
      </c>
      <c r="E28" s="1"/>
      <c r="F28" s="5"/>
      <c r="G28" s="1"/>
      <c r="H28" s="1"/>
    </row>
    <row r="29" spans="1:8" ht="14.15" x14ac:dyDescent="0.4">
      <c r="A29" s="22" t="s">
        <v>49</v>
      </c>
      <c r="B29" s="27" t="s">
        <v>62</v>
      </c>
      <c r="C29" s="17">
        <f>'Design range'!C30</f>
        <v>0.995</v>
      </c>
      <c r="D29" s="69">
        <f t="shared" si="0"/>
        <v>839527.81998271111</v>
      </c>
      <c r="E29" s="1"/>
      <c r="F29" s="5"/>
      <c r="G29" s="1"/>
      <c r="H29" s="1"/>
    </row>
    <row r="30" spans="1:8" ht="14.15" x14ac:dyDescent="0.4">
      <c r="A30" s="22" t="s">
        <v>50</v>
      </c>
      <c r="B30" s="27" t="s">
        <v>64</v>
      </c>
      <c r="C30" s="17">
        <f>'Design range'!C31</f>
        <v>0.98</v>
      </c>
      <c r="D30" s="69">
        <f t="shared" si="0"/>
        <v>822737.26358305686</v>
      </c>
      <c r="E30" s="1"/>
      <c r="F30" s="5" t="s">
        <v>93</v>
      </c>
      <c r="G30" s="1"/>
      <c r="H30" s="1"/>
    </row>
    <row r="31" spans="1:8" ht="14.15" x14ac:dyDescent="0.4">
      <c r="A31" s="22" t="s">
        <v>51</v>
      </c>
      <c r="B31" s="27" t="s">
        <v>65</v>
      </c>
      <c r="C31" s="17">
        <f>EXP(-((cruiserange*sfc)/(Mcruise*a/1.69*LoD)))</f>
        <v>0.61267141964129901</v>
      </c>
      <c r="D31" s="70">
        <f t="shared" si="0"/>
        <v>504067.60727122909</v>
      </c>
      <c r="E31" s="1"/>
      <c r="F31" s="10" t="s">
        <v>88</v>
      </c>
      <c r="G31" s="8">
        <f>C12*C13/C21*C20*LN(D30/D31)</f>
        <v>10703.117392699776</v>
      </c>
      <c r="H31" s="1"/>
    </row>
    <row r="32" spans="1:8" ht="14.15" x14ac:dyDescent="0.4">
      <c r="A32" s="22" t="s">
        <v>52</v>
      </c>
      <c r="B32" s="27" t="s">
        <v>66</v>
      </c>
      <c r="C32" s="17">
        <f>'Design range'!C33</f>
        <v>0.99</v>
      </c>
      <c r="D32" s="69">
        <f t="shared" si="0"/>
        <v>499026.9311985168</v>
      </c>
      <c r="E32" s="1"/>
      <c r="F32" s="5"/>
      <c r="G32" s="1"/>
      <c r="H32" s="1"/>
    </row>
    <row r="33" spans="1:8" ht="14.15" x14ac:dyDescent="0.4">
      <c r="A33" s="22" t="s">
        <v>53</v>
      </c>
      <c r="B33" s="27" t="s">
        <v>67</v>
      </c>
      <c r="C33" s="17">
        <f>'Design range'!C34</f>
        <v>0.99</v>
      </c>
      <c r="D33" s="69">
        <f t="shared" si="0"/>
        <v>494036.66188653163</v>
      </c>
      <c r="E33" s="1"/>
      <c r="F33" s="5"/>
      <c r="G33" s="1"/>
      <c r="H33" s="1"/>
    </row>
    <row r="34" spans="1:8" ht="14.15" x14ac:dyDescent="0.4">
      <c r="A34" s="22" t="s">
        <v>54</v>
      </c>
      <c r="B34" s="27" t="s">
        <v>68</v>
      </c>
      <c r="C34" s="17">
        <f>'Design range'!C35</f>
        <v>0.995</v>
      </c>
      <c r="D34" s="69">
        <f t="shared" si="0"/>
        <v>491566.47857709898</v>
      </c>
      <c r="E34" s="1"/>
      <c r="F34" s="5"/>
      <c r="G34" s="1"/>
      <c r="H34" s="1"/>
    </row>
    <row r="35" spans="1:8" ht="14.15" x14ac:dyDescent="0.4">
      <c r="A35" s="22" t="s">
        <v>50</v>
      </c>
      <c r="B35" s="27" t="s">
        <v>69</v>
      </c>
      <c r="C35" s="17">
        <f>'Design range'!C36</f>
        <v>0.98</v>
      </c>
      <c r="D35" s="69">
        <f t="shared" si="0"/>
        <v>481735.149005557</v>
      </c>
      <c r="E35" s="1"/>
      <c r="F35" s="5"/>
      <c r="G35" s="1"/>
      <c r="H35" s="1"/>
    </row>
    <row r="36" spans="1:8" ht="14.15" x14ac:dyDescent="0.4">
      <c r="A36" s="22" t="s">
        <v>55</v>
      </c>
      <c r="B36" s="27" t="s">
        <v>70</v>
      </c>
      <c r="C36" s="17">
        <f>EXP(-((C17*C21)/(C12*C13/1.69*C20)))</f>
        <v>0.95218812759688953</v>
      </c>
      <c r="D36" s="69">
        <f t="shared" si="0"/>
        <v>458702.48952920991</v>
      </c>
      <c r="E36" s="1"/>
      <c r="F36" s="5"/>
      <c r="G36" s="1"/>
      <c r="H36" s="1"/>
    </row>
    <row r="37" spans="1:8" ht="14.15" x14ac:dyDescent="0.4">
      <c r="A37" s="22" t="s">
        <v>52</v>
      </c>
      <c r="B37" s="27" t="s">
        <v>71</v>
      </c>
      <c r="C37" s="17">
        <f>'Design range'!C38</f>
        <v>0.99</v>
      </c>
      <c r="D37" s="69">
        <f t="shared" si="0"/>
        <v>454115.46463391779</v>
      </c>
      <c r="E37" s="1"/>
      <c r="F37" s="5"/>
      <c r="G37" s="1"/>
      <c r="H37" s="1"/>
    </row>
    <row r="38" spans="1:8" ht="14.15" x14ac:dyDescent="0.4">
      <c r="A38" s="22" t="s">
        <v>50</v>
      </c>
      <c r="B38" s="27" t="s">
        <v>72</v>
      </c>
      <c r="C38" s="17">
        <f>'Design range'!C39</f>
        <v>0.98</v>
      </c>
      <c r="D38" s="69">
        <f t="shared" si="0"/>
        <v>445033.15534123941</v>
      </c>
      <c r="E38" s="1"/>
      <c r="F38" s="5"/>
      <c r="G38" s="1"/>
      <c r="H38" s="1"/>
    </row>
    <row r="39" spans="1:8" ht="14.6" thickBot="1" x14ac:dyDescent="0.45">
      <c r="A39" s="22" t="s">
        <v>56</v>
      </c>
      <c r="B39" s="27" t="s">
        <v>73</v>
      </c>
      <c r="C39" s="17">
        <f>EXP(-((C18*C21)/(C12*C13/1.69*C20)))</f>
        <v>0.9884633072965725</v>
      </c>
      <c r="D39" s="69">
        <f t="shared" si="0"/>
        <v>439898.94458523084</v>
      </c>
      <c r="E39" s="1"/>
      <c r="F39" s="5"/>
      <c r="G39" s="1"/>
      <c r="H39" s="1"/>
    </row>
    <row r="40" spans="1:8" ht="14.15" x14ac:dyDescent="0.4">
      <c r="A40" s="22" t="s">
        <v>52</v>
      </c>
      <c r="B40" s="27" t="s">
        <v>74</v>
      </c>
      <c r="C40" s="17">
        <f>'Design range'!C41</f>
        <v>0.99</v>
      </c>
      <c r="D40" s="69">
        <f t="shared" si="0"/>
        <v>435499.95513937855</v>
      </c>
      <c r="E40" s="1"/>
      <c r="F40" s="74" t="s">
        <v>82</v>
      </c>
      <c r="G40" s="75"/>
      <c r="H40" s="1"/>
    </row>
    <row r="41" spans="1:8" ht="14.15" x14ac:dyDescent="0.4">
      <c r="A41" s="22" t="s">
        <v>57</v>
      </c>
      <c r="B41" s="27" t="s">
        <v>75</v>
      </c>
      <c r="C41" s="28">
        <f>EXP(-(E*Cloiter/LoD))</f>
        <v>0.98585105068977663</v>
      </c>
      <c r="D41" s="69">
        <f t="shared" si="0"/>
        <v>429338.08834950696</v>
      </c>
      <c r="E41" s="1"/>
      <c r="F41" s="76" t="s">
        <v>114</v>
      </c>
      <c r="G41" s="77">
        <f>CoeffA</f>
        <v>6.5791027617126412</v>
      </c>
      <c r="H41" s="1"/>
    </row>
    <row r="42" spans="1:8" ht="14.6" thickBot="1" x14ac:dyDescent="0.45">
      <c r="A42" s="22" t="s">
        <v>53</v>
      </c>
      <c r="B42" s="27" t="s">
        <v>76</v>
      </c>
      <c r="C42" s="17">
        <f>'Design range'!C43</f>
        <v>0.99199999999999999</v>
      </c>
      <c r="D42" s="69">
        <f t="shared" si="0"/>
        <v>425903.38364271092</v>
      </c>
      <c r="E42" s="1"/>
      <c r="F42" s="78" t="s">
        <v>113</v>
      </c>
      <c r="G42" s="79">
        <f>CoeffB</f>
        <v>0.80133704285738949</v>
      </c>
      <c r="H42" s="1"/>
    </row>
    <row r="43" spans="1:8" ht="14.6" thickBot="1" x14ac:dyDescent="0.45">
      <c r="A43" s="24" t="s">
        <v>58</v>
      </c>
      <c r="B43" s="87" t="s">
        <v>77</v>
      </c>
      <c r="C43" s="88">
        <f>'Design range'!C44</f>
        <v>0.99</v>
      </c>
      <c r="D43" s="89">
        <f t="shared" si="0"/>
        <v>421644.34980628383</v>
      </c>
      <c r="E43" s="1"/>
      <c r="F43" s="5"/>
      <c r="G43" s="1"/>
      <c r="H43" s="1"/>
    </row>
    <row r="44" spans="1:8" ht="12.9" thickBot="1" x14ac:dyDescent="0.35">
      <c r="A44" s="86"/>
      <c r="B44" s="4"/>
      <c r="C44" s="71"/>
      <c r="D44" s="11"/>
      <c r="E44" s="1"/>
      <c r="F44" s="5"/>
      <c r="G44" s="1"/>
      <c r="H44" s="1"/>
    </row>
    <row r="45" spans="1:8" ht="14.6" thickBot="1" x14ac:dyDescent="0.45">
      <c r="A45" s="114" t="s">
        <v>78</v>
      </c>
      <c r="B45" s="95" t="s">
        <v>79</v>
      </c>
      <c r="C45" s="115">
        <f>(C27*C28*C29*C30*C31*C32*C33*C34*C35*C36*C37*C38*C39*C40*C41*C42*C43)</f>
        <v>0.48978407781338412</v>
      </c>
      <c r="D45" s="116"/>
      <c r="E45" s="1"/>
      <c r="F45" s="5"/>
      <c r="G45" s="1"/>
      <c r="H45" s="1"/>
    </row>
    <row r="46" spans="1:8" ht="12.9" thickBot="1" x14ac:dyDescent="0.35">
      <c r="A46" s="117" t="s">
        <v>90</v>
      </c>
      <c r="B46" s="100"/>
      <c r="C46" s="100"/>
      <c r="D46" s="102">
        <f>D43-offdespayload</f>
        <v>374644.34980628383</v>
      </c>
      <c r="E46" s="1"/>
      <c r="F46" s="73" t="s">
        <v>92</v>
      </c>
      <c r="G46" s="72">
        <f>CoeffA*D26^CoeffB</f>
        <v>375020.6990290914</v>
      </c>
      <c r="H46" s="1"/>
    </row>
    <row r="47" spans="1:8" x14ac:dyDescent="0.3">
      <c r="A47" s="3"/>
      <c r="B47" s="1"/>
      <c r="C47" s="1"/>
      <c r="D47" s="8"/>
      <c r="E47" s="1"/>
      <c r="F47" s="5"/>
      <c r="G47" s="1"/>
      <c r="H47" s="1"/>
    </row>
    <row r="48" spans="1:8" x14ac:dyDescent="0.3">
      <c r="A48" s="9" t="s">
        <v>91</v>
      </c>
      <c r="B48" s="1"/>
      <c r="C48" s="1"/>
      <c r="D48" s="11">
        <f>D46-G46</f>
        <v>-376.34922280756291</v>
      </c>
      <c r="E48" s="1"/>
      <c r="F48" s="5"/>
      <c r="G48" s="1"/>
      <c r="H48" s="1"/>
    </row>
    <row r="49" spans="1:8" x14ac:dyDescent="0.3">
      <c r="A49" s="3"/>
      <c r="B49" s="1"/>
      <c r="C49" s="1"/>
      <c r="D49" s="1"/>
      <c r="E49" s="1"/>
      <c r="F49" s="5"/>
      <c r="G49" s="1"/>
      <c r="H49" s="1"/>
    </row>
    <row r="50" spans="1:8" x14ac:dyDescent="0.3">
      <c r="A50" s="3"/>
      <c r="B50" s="1"/>
      <c r="C50" s="1"/>
      <c r="D50" s="1"/>
      <c r="E50" s="1"/>
      <c r="F50" s="5"/>
      <c r="G50" s="1"/>
      <c r="H50" s="1"/>
    </row>
    <row r="51" spans="1:8" x14ac:dyDescent="0.3">
      <c r="A51" s="3"/>
      <c r="B51" s="1"/>
      <c r="C51" s="1"/>
      <c r="D51" s="1"/>
      <c r="E51" s="1"/>
      <c r="F51" s="5"/>
      <c r="G51" s="1"/>
    </row>
  </sheetData>
  <phoneticPr fontId="0" type="noConversion"/>
  <pageMargins left="0.75" right="0.75" top="1" bottom="1" header="0.5" footer="0.5"/>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9:H49"/>
  <sheetViews>
    <sheetView topLeftCell="A16" zoomScaleNormal="100" workbookViewId="0">
      <selection activeCell="F19" sqref="F19"/>
    </sheetView>
  </sheetViews>
  <sheetFormatPr defaultRowHeight="12.45" x14ac:dyDescent="0.3"/>
  <cols>
    <col min="1" max="1" width="30.69140625" customWidth="1"/>
    <col min="6" max="6" width="21.84375" customWidth="1"/>
  </cols>
  <sheetData>
    <row r="9" spans="1:8" ht="12.9" thickBot="1" x14ac:dyDescent="0.35"/>
    <row r="10" spans="1:8" x14ac:dyDescent="0.3">
      <c r="A10" s="19" t="s">
        <v>18</v>
      </c>
      <c r="B10" s="20" t="s">
        <v>16</v>
      </c>
      <c r="C10" s="21" t="s">
        <v>17</v>
      </c>
      <c r="D10" s="2"/>
      <c r="E10" s="2"/>
      <c r="F10" s="120"/>
      <c r="G10" s="21" t="s">
        <v>22</v>
      </c>
      <c r="H10" s="2"/>
    </row>
    <row r="11" spans="1:8" x14ac:dyDescent="0.3">
      <c r="A11" s="22" t="s">
        <v>31</v>
      </c>
      <c r="B11" s="16" t="s">
        <v>19</v>
      </c>
      <c r="C11" s="66">
        <f>'Design range'!C11</f>
        <v>35000</v>
      </c>
      <c r="D11" s="1"/>
      <c r="E11" s="1"/>
      <c r="F11" s="23" t="s">
        <v>134</v>
      </c>
      <c r="G11" s="121">
        <f>'Design range'!G11</f>
        <v>230</v>
      </c>
      <c r="H11" s="1"/>
    </row>
    <row r="12" spans="1:8" x14ac:dyDescent="0.3">
      <c r="A12" s="22" t="s">
        <v>29</v>
      </c>
      <c r="B12" s="16" t="s">
        <v>13</v>
      </c>
      <c r="C12" s="49">
        <f>'Design range'!C12</f>
        <v>0.8</v>
      </c>
      <c r="D12" s="1"/>
      <c r="E12" s="1"/>
      <c r="F12" s="23" t="s">
        <v>133</v>
      </c>
      <c r="G12" s="121">
        <f>'Design range'!G12</f>
        <v>0</v>
      </c>
      <c r="H12" s="1"/>
    </row>
    <row r="13" spans="1:8" x14ac:dyDescent="0.3">
      <c r="A13" s="22" t="s">
        <v>44</v>
      </c>
      <c r="B13" s="16" t="s">
        <v>42</v>
      </c>
      <c r="C13" s="49">
        <f>'Design range'!C13</f>
        <v>972.84631401727586</v>
      </c>
      <c r="D13" s="1"/>
      <c r="E13" s="1"/>
      <c r="F13" s="23" t="s">
        <v>131</v>
      </c>
      <c r="G13" s="121">
        <f>'Design range'!G13</f>
        <v>205</v>
      </c>
      <c r="H13" s="4"/>
    </row>
    <row r="14" spans="1:8" x14ac:dyDescent="0.3">
      <c r="A14" s="22" t="s">
        <v>45</v>
      </c>
      <c r="B14" s="16" t="s">
        <v>37</v>
      </c>
      <c r="C14" s="49">
        <f>'Design range'!C14</f>
        <v>393.89000000000004</v>
      </c>
      <c r="D14" s="1"/>
      <c r="E14" s="1"/>
      <c r="F14" s="23" t="s">
        <v>132</v>
      </c>
      <c r="G14" s="121">
        <f>'Design range'!G14</f>
        <v>30</v>
      </c>
      <c r="H14" s="4"/>
    </row>
    <row r="15" spans="1:8" x14ac:dyDescent="0.3">
      <c r="A15" s="23" t="s">
        <v>86</v>
      </c>
      <c r="B15" s="16"/>
      <c r="C15" s="53">
        <v>0</v>
      </c>
      <c r="D15" s="1"/>
      <c r="E15" s="1"/>
      <c r="F15" s="23" t="s">
        <v>135</v>
      </c>
      <c r="G15" s="121">
        <f>'Design range'!G15</f>
        <v>0</v>
      </c>
      <c r="H15" s="1"/>
    </row>
    <row r="16" spans="1:8" x14ac:dyDescent="0.3">
      <c r="A16" s="23" t="s">
        <v>89</v>
      </c>
      <c r="B16" s="16" t="s">
        <v>20</v>
      </c>
      <c r="C16" s="67">
        <v>7163.3198989436569</v>
      </c>
      <c r="D16" s="1"/>
      <c r="E16" s="1"/>
      <c r="F16" s="22" t="s">
        <v>30</v>
      </c>
      <c r="G16" s="121">
        <f>nopax*(G13+G14)</f>
        <v>0</v>
      </c>
      <c r="H16" s="1"/>
    </row>
    <row r="17" spans="1:8" ht="12.9" thickBot="1" x14ac:dyDescent="0.35">
      <c r="A17" s="23" t="s">
        <v>87</v>
      </c>
      <c r="B17" s="16" t="s">
        <v>20</v>
      </c>
      <c r="C17" s="66">
        <f>0.1*cruiserange</f>
        <v>633.32055578105201</v>
      </c>
      <c r="D17" s="1"/>
      <c r="E17" s="1"/>
      <c r="F17" s="24" t="s">
        <v>23</v>
      </c>
      <c r="G17" s="122">
        <f>(G15+G16)</f>
        <v>0</v>
      </c>
      <c r="H17" s="1"/>
    </row>
    <row r="18" spans="1:8" ht="12.9" thickBot="1" x14ac:dyDescent="0.35">
      <c r="A18" s="22" t="s">
        <v>28</v>
      </c>
      <c r="B18" s="16" t="s">
        <v>20</v>
      </c>
      <c r="C18" s="66">
        <f>'Design range'!C18</f>
        <v>150</v>
      </c>
      <c r="D18" s="1"/>
      <c r="E18" s="1"/>
      <c r="F18" s="5"/>
      <c r="G18" s="1"/>
      <c r="H18" s="1"/>
    </row>
    <row r="19" spans="1:8" x14ac:dyDescent="0.3">
      <c r="A19" s="22" t="s">
        <v>43</v>
      </c>
      <c r="B19" s="16" t="s">
        <v>41</v>
      </c>
      <c r="C19" s="49">
        <f>'Design range'!C19</f>
        <v>0.5</v>
      </c>
      <c r="D19" s="1"/>
      <c r="E19" s="1"/>
      <c r="F19" s="118" t="s">
        <v>142</v>
      </c>
      <c r="G19" s="123">
        <v>200</v>
      </c>
      <c r="H19" s="1"/>
    </row>
    <row r="20" spans="1:8" ht="12.9" thickBot="1" x14ac:dyDescent="0.35">
      <c r="A20" s="22" t="s">
        <v>24</v>
      </c>
      <c r="B20" s="16" t="s">
        <v>13</v>
      </c>
      <c r="C20" s="49">
        <f>'Design range'!C20</f>
        <v>16</v>
      </c>
      <c r="D20" s="1"/>
      <c r="E20" s="1"/>
      <c r="F20" s="119" t="s">
        <v>141</v>
      </c>
      <c r="G20" s="89">
        <f>G19*(G13+G14)</f>
        <v>47000</v>
      </c>
      <c r="H20" s="1"/>
    </row>
    <row r="21" spans="1:8" x14ac:dyDescent="0.3">
      <c r="A21" s="22" t="s">
        <v>21</v>
      </c>
      <c r="B21" s="16" t="s">
        <v>25</v>
      </c>
      <c r="C21" s="49">
        <f>'Design range'!C21</f>
        <v>0.56999999999999995</v>
      </c>
      <c r="D21" s="1"/>
      <c r="E21" s="1"/>
      <c r="F21" s="5"/>
      <c r="G21" s="1"/>
      <c r="H21" s="1"/>
    </row>
    <row r="22" spans="1:8" ht="14.6" thickBot="1" x14ac:dyDescent="0.45">
      <c r="A22" s="24" t="s">
        <v>46</v>
      </c>
      <c r="B22" s="25" t="s">
        <v>25</v>
      </c>
      <c r="C22" s="26">
        <f>0.8*C21</f>
        <v>0.45599999999999996</v>
      </c>
      <c r="D22" s="1"/>
      <c r="E22" s="1"/>
      <c r="F22" s="5"/>
      <c r="G22" s="1"/>
      <c r="H22" s="1"/>
    </row>
    <row r="23" spans="1:8" x14ac:dyDescent="0.3">
      <c r="A23" s="3"/>
      <c r="B23" s="1"/>
      <c r="C23" s="1"/>
      <c r="D23" s="1"/>
      <c r="E23" s="1"/>
      <c r="F23" s="5"/>
      <c r="G23" s="1"/>
      <c r="H23" s="1"/>
    </row>
    <row r="24" spans="1:8" ht="12.9" thickBot="1" x14ac:dyDescent="0.35">
      <c r="A24" s="3"/>
      <c r="B24" s="1"/>
      <c r="C24" s="1"/>
      <c r="D24" s="1"/>
      <c r="E24" s="1"/>
      <c r="F24" s="5"/>
      <c r="G24" s="1"/>
      <c r="H24" s="1"/>
    </row>
    <row r="25" spans="1:8" ht="14.15" x14ac:dyDescent="0.4">
      <c r="A25" s="94" t="s">
        <v>59</v>
      </c>
      <c r="B25" s="95" t="s">
        <v>139</v>
      </c>
      <c r="C25" s="95" t="s">
        <v>17</v>
      </c>
      <c r="D25" s="96" t="s">
        <v>81</v>
      </c>
      <c r="E25" s="2"/>
      <c r="F25" s="2"/>
      <c r="G25" s="2"/>
      <c r="H25" s="2"/>
    </row>
    <row r="26" spans="1:8" x14ac:dyDescent="0.3">
      <c r="A26" s="23" t="s">
        <v>80</v>
      </c>
      <c r="B26" s="80"/>
      <c r="C26" s="80"/>
      <c r="D26" s="111">
        <f>MTOGW-MTOGW_reduction</f>
        <v>813878.02545295714</v>
      </c>
      <c r="E26" s="2"/>
      <c r="F26" s="2"/>
      <c r="G26" s="2"/>
      <c r="H26" s="2"/>
    </row>
    <row r="27" spans="1:8" ht="14.15" x14ac:dyDescent="0.4">
      <c r="A27" s="23" t="s">
        <v>47</v>
      </c>
      <c r="B27" s="80" t="s">
        <v>63</v>
      </c>
      <c r="C27" s="81">
        <f>'Design range'!C28</f>
        <v>0.99</v>
      </c>
      <c r="D27" s="98">
        <f>C27*D26</f>
        <v>805739.24519842758</v>
      </c>
      <c r="E27" s="1"/>
      <c r="F27" s="5"/>
      <c r="G27" s="1"/>
      <c r="H27" s="1"/>
    </row>
    <row r="28" spans="1:8" ht="14.15" x14ac:dyDescent="0.4">
      <c r="A28" s="23" t="s">
        <v>48</v>
      </c>
      <c r="B28" s="80" t="s">
        <v>61</v>
      </c>
      <c r="C28" s="81">
        <f>'Design range'!C29</f>
        <v>0.99</v>
      </c>
      <c r="D28" s="98">
        <f t="shared" ref="D28:D43" si="0">C28*D27</f>
        <v>797681.85274644336</v>
      </c>
      <c r="E28" s="1"/>
      <c r="F28" s="5"/>
      <c r="G28" s="1"/>
      <c r="H28" s="1"/>
    </row>
    <row r="29" spans="1:8" ht="14.15" x14ac:dyDescent="0.4">
      <c r="A29" s="23" t="s">
        <v>49</v>
      </c>
      <c r="B29" s="80" t="s">
        <v>62</v>
      </c>
      <c r="C29" s="81">
        <f>'Design range'!C30</f>
        <v>0.995</v>
      </c>
      <c r="D29" s="98">
        <f t="shared" si="0"/>
        <v>793693.4434827111</v>
      </c>
      <c r="E29" s="1"/>
      <c r="F29" s="5"/>
      <c r="G29" s="1"/>
      <c r="H29" s="1"/>
    </row>
    <row r="30" spans="1:8" ht="14.15" x14ac:dyDescent="0.4">
      <c r="A30" s="23" t="s">
        <v>50</v>
      </c>
      <c r="B30" s="80" t="s">
        <v>64</v>
      </c>
      <c r="C30" s="81">
        <f>'Design range'!C31</f>
        <v>0.98</v>
      </c>
      <c r="D30" s="98">
        <f t="shared" si="0"/>
        <v>777819.57461305684</v>
      </c>
      <c r="E30" s="1"/>
      <c r="F30" s="5"/>
      <c r="G30" s="1"/>
      <c r="H30" s="1"/>
    </row>
    <row r="31" spans="1:8" ht="14.15" x14ac:dyDescent="0.4">
      <c r="A31" s="23" t="s">
        <v>51</v>
      </c>
      <c r="B31" s="80" t="s">
        <v>65</v>
      </c>
      <c r="C31" s="81">
        <f>EXP(-((maxrange*sfc)/(Mcruise*a/1.69*LoD)))</f>
        <v>0.57456456371388653</v>
      </c>
      <c r="D31" s="112">
        <f t="shared" si="0"/>
        <v>446907.56453567185</v>
      </c>
      <c r="E31" s="1"/>
      <c r="F31" s="10"/>
      <c r="G31" s="8"/>
      <c r="H31" s="1"/>
    </row>
    <row r="32" spans="1:8" ht="14.15" x14ac:dyDescent="0.4">
      <c r="A32" s="23" t="s">
        <v>52</v>
      </c>
      <c r="B32" s="80" t="s">
        <v>66</v>
      </c>
      <c r="C32" s="81">
        <f>'Design range'!C33</f>
        <v>0.99</v>
      </c>
      <c r="D32" s="98">
        <f t="shared" si="0"/>
        <v>442438.48889031511</v>
      </c>
      <c r="E32" s="1"/>
      <c r="F32" s="5"/>
      <c r="G32" s="1"/>
      <c r="H32" s="1"/>
    </row>
    <row r="33" spans="1:8" ht="14.15" x14ac:dyDescent="0.4">
      <c r="A33" s="23" t="s">
        <v>53</v>
      </c>
      <c r="B33" s="80" t="s">
        <v>67</v>
      </c>
      <c r="C33" s="81">
        <f>'Design range'!C34</f>
        <v>0.99</v>
      </c>
      <c r="D33" s="98">
        <f t="shared" si="0"/>
        <v>438014.10400141194</v>
      </c>
      <c r="E33" s="1"/>
      <c r="F33" s="5"/>
      <c r="G33" s="1"/>
      <c r="H33" s="1"/>
    </row>
    <row r="34" spans="1:8" ht="14.15" x14ac:dyDescent="0.4">
      <c r="A34" s="23" t="s">
        <v>54</v>
      </c>
      <c r="B34" s="80" t="s">
        <v>68</v>
      </c>
      <c r="C34" s="81">
        <f>'Design range'!C35</f>
        <v>0.995</v>
      </c>
      <c r="D34" s="98">
        <f t="shared" si="0"/>
        <v>435824.03348140488</v>
      </c>
      <c r="E34" s="1"/>
      <c r="F34" s="5"/>
      <c r="G34" s="1"/>
      <c r="H34" s="1"/>
    </row>
    <row r="35" spans="1:8" ht="14.15" x14ac:dyDescent="0.4">
      <c r="A35" s="23" t="s">
        <v>50</v>
      </c>
      <c r="B35" s="80" t="s">
        <v>69</v>
      </c>
      <c r="C35" s="81">
        <f>'Design range'!C36</f>
        <v>0.98</v>
      </c>
      <c r="D35" s="98">
        <f t="shared" si="0"/>
        <v>427107.55281177675</v>
      </c>
      <c r="E35" s="1"/>
      <c r="F35" s="5"/>
      <c r="G35" s="1"/>
      <c r="H35" s="1"/>
    </row>
    <row r="36" spans="1:8" ht="14.15" x14ac:dyDescent="0.4">
      <c r="A36" s="23" t="s">
        <v>55</v>
      </c>
      <c r="B36" s="80" t="s">
        <v>70</v>
      </c>
      <c r="C36" s="81">
        <f>EXP(-((C17*C21)/(C12*C13/1.69*C20)))</f>
        <v>0.95218812759688953</v>
      </c>
      <c r="D36" s="98">
        <f t="shared" si="0"/>
        <v>406686.74099433533</v>
      </c>
      <c r="E36" s="1"/>
      <c r="F36" s="5"/>
      <c r="G36" s="1"/>
      <c r="H36" s="1"/>
    </row>
    <row r="37" spans="1:8" ht="14.15" x14ac:dyDescent="0.4">
      <c r="A37" s="23" t="s">
        <v>52</v>
      </c>
      <c r="B37" s="80" t="s">
        <v>71</v>
      </c>
      <c r="C37" s="81">
        <f>'Design range'!C38</f>
        <v>0.99</v>
      </c>
      <c r="D37" s="98">
        <f t="shared" si="0"/>
        <v>402619.87358439196</v>
      </c>
      <c r="E37" s="1"/>
      <c r="F37" s="5"/>
      <c r="G37" s="1"/>
      <c r="H37" s="1"/>
    </row>
    <row r="38" spans="1:8" ht="14.15" x14ac:dyDescent="0.4">
      <c r="A38" s="23" t="s">
        <v>50</v>
      </c>
      <c r="B38" s="80" t="s">
        <v>72</v>
      </c>
      <c r="C38" s="81">
        <f>'Design range'!C39</f>
        <v>0.98</v>
      </c>
      <c r="D38" s="98">
        <f t="shared" si="0"/>
        <v>394567.47611270408</v>
      </c>
      <c r="E38" s="1"/>
      <c r="F38" s="5"/>
      <c r="G38" s="1"/>
      <c r="H38" s="1"/>
    </row>
    <row r="39" spans="1:8" ht="14.6" thickBot="1" x14ac:dyDescent="0.45">
      <c r="A39" s="23" t="s">
        <v>56</v>
      </c>
      <c r="B39" s="80" t="s">
        <v>73</v>
      </c>
      <c r="C39" s="81">
        <f>EXP(-((C18*C21)/(C12*C13/1.69*C20)))</f>
        <v>0.9884633072965725</v>
      </c>
      <c r="D39" s="98">
        <f t="shared" si="0"/>
        <v>390015.47239002486</v>
      </c>
      <c r="E39" s="1"/>
      <c r="F39" s="5"/>
      <c r="G39" s="1"/>
      <c r="H39" s="1"/>
    </row>
    <row r="40" spans="1:8" ht="14.15" x14ac:dyDescent="0.4">
      <c r="A40" s="23" t="s">
        <v>52</v>
      </c>
      <c r="B40" s="80" t="s">
        <v>74</v>
      </c>
      <c r="C40" s="81">
        <f>'Design range'!C41</f>
        <v>0.99</v>
      </c>
      <c r="D40" s="98">
        <f t="shared" si="0"/>
        <v>386115.31766612461</v>
      </c>
      <c r="E40" s="1"/>
      <c r="F40" s="74" t="s">
        <v>82</v>
      </c>
      <c r="G40" s="75"/>
      <c r="H40" s="1"/>
    </row>
    <row r="41" spans="1:8" ht="14.15" x14ac:dyDescent="0.4">
      <c r="A41" s="23" t="s">
        <v>57</v>
      </c>
      <c r="B41" s="80" t="s">
        <v>75</v>
      </c>
      <c r="C41" s="82">
        <f>EXP(-(E*Cloiter/LoD))</f>
        <v>0.98585105068977663</v>
      </c>
      <c r="D41" s="98">
        <f t="shared" si="0"/>
        <v>380652.1916085658</v>
      </c>
      <c r="E41" s="1"/>
      <c r="F41" s="76" t="s">
        <v>114</v>
      </c>
      <c r="G41" s="77">
        <f>CoeffA</f>
        <v>6.5791027617126412</v>
      </c>
      <c r="H41" s="1"/>
    </row>
    <row r="42" spans="1:8" ht="14.6" thickBot="1" x14ac:dyDescent="0.45">
      <c r="A42" s="23" t="s">
        <v>53</v>
      </c>
      <c r="B42" s="80" t="s">
        <v>76</v>
      </c>
      <c r="C42" s="81">
        <f>'Design range'!C43</f>
        <v>0.99199999999999999</v>
      </c>
      <c r="D42" s="98">
        <f t="shared" si="0"/>
        <v>377606.97407569725</v>
      </c>
      <c r="E42" s="1"/>
      <c r="F42" s="78" t="s">
        <v>113</v>
      </c>
      <c r="G42" s="79">
        <f>CoeffB</f>
        <v>0.80133704285738949</v>
      </c>
      <c r="H42" s="1"/>
    </row>
    <row r="43" spans="1:8" ht="14.6" thickBot="1" x14ac:dyDescent="0.45">
      <c r="A43" s="99" t="s">
        <v>58</v>
      </c>
      <c r="B43" s="100" t="s">
        <v>77</v>
      </c>
      <c r="C43" s="113">
        <f>'Design range'!C44</f>
        <v>0.99</v>
      </c>
      <c r="D43" s="102">
        <f t="shared" si="0"/>
        <v>373830.90433494025</v>
      </c>
      <c r="E43" s="1"/>
      <c r="F43" s="5"/>
      <c r="G43" s="1"/>
      <c r="H43" s="1"/>
    </row>
    <row r="44" spans="1:8" x14ac:dyDescent="0.3">
      <c r="A44" s="3"/>
      <c r="B44" s="1"/>
      <c r="C44" s="6"/>
      <c r="D44" s="8"/>
      <c r="E44" s="1"/>
      <c r="F44" s="5"/>
      <c r="G44" s="1"/>
      <c r="H44" s="1"/>
    </row>
    <row r="45" spans="1:8" ht="14.6" thickBot="1" x14ac:dyDescent="0.45">
      <c r="A45" s="15" t="s">
        <v>78</v>
      </c>
      <c r="B45" s="27" t="s">
        <v>79</v>
      </c>
      <c r="C45" s="17">
        <f>(C27*C28*C29*C30*C31*C32*C33*C34*C35*C36*C37*C38*C39*C40*C41*C42*C43)</f>
        <v>0.45932055252000181</v>
      </c>
      <c r="D45" s="31"/>
      <c r="E45" s="1"/>
      <c r="F45" s="5"/>
      <c r="G45" s="1"/>
      <c r="H45" s="1"/>
    </row>
    <row r="46" spans="1:8" ht="12.9" thickBot="1" x14ac:dyDescent="0.35">
      <c r="A46" s="103" t="s">
        <v>137</v>
      </c>
      <c r="B46" s="16"/>
      <c r="C46" s="16"/>
      <c r="D46" s="110">
        <f>D43</f>
        <v>373830.90433494025</v>
      </c>
      <c r="E46" s="1"/>
      <c r="F46" s="73" t="s">
        <v>85</v>
      </c>
      <c r="G46" s="72">
        <f>CoeffA*MTOGW^CoeffB</f>
        <v>375020.6990290914</v>
      </c>
      <c r="H46" s="1"/>
    </row>
    <row r="47" spans="1:8" x14ac:dyDescent="0.3">
      <c r="A47" s="3"/>
      <c r="B47" s="1"/>
      <c r="C47" s="1"/>
      <c r="D47" s="8"/>
      <c r="E47" s="1"/>
      <c r="F47" s="5"/>
      <c r="G47" s="1"/>
      <c r="H47" s="1"/>
    </row>
    <row r="48" spans="1:8" x14ac:dyDescent="0.3">
      <c r="A48" s="9" t="s">
        <v>120</v>
      </c>
      <c r="B48" s="1"/>
      <c r="C48" s="1"/>
      <c r="D48" s="11">
        <f>D46-G46</f>
        <v>-1189.7946941511473</v>
      </c>
      <c r="E48" s="1"/>
      <c r="F48" s="5"/>
      <c r="G48" s="1"/>
      <c r="H48" s="1"/>
    </row>
    <row r="49" spans="1:8" x14ac:dyDescent="0.3">
      <c r="A49" s="3"/>
      <c r="B49" s="1"/>
      <c r="C49" s="1"/>
      <c r="D49" s="1"/>
      <c r="E49" s="1"/>
      <c r="F49" s="5"/>
      <c r="G49" s="1"/>
      <c r="H49" s="1"/>
    </row>
  </sheetData>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Q36"/>
  <sheetViews>
    <sheetView topLeftCell="A8" zoomScale="84" zoomScaleNormal="84" workbookViewId="0">
      <selection activeCell="H12" sqref="H12"/>
    </sheetView>
  </sheetViews>
  <sheetFormatPr defaultRowHeight="12.45" x14ac:dyDescent="0.3"/>
  <cols>
    <col min="3" max="3" width="12" bestFit="1" customWidth="1"/>
    <col min="6" max="6" width="18.3046875" customWidth="1"/>
    <col min="9" max="9" width="13" customWidth="1"/>
    <col min="16" max="16" width="9.15234375" bestFit="1" customWidth="1"/>
  </cols>
  <sheetData>
    <row r="3" spans="2:17" x14ac:dyDescent="0.3">
      <c r="M3" s="12"/>
    </row>
    <row r="9" spans="2:17" ht="13.95" customHeight="1" thickBot="1" x14ac:dyDescent="0.35"/>
    <row r="10" spans="2:17" x14ac:dyDescent="0.3">
      <c r="B10" s="132" t="s">
        <v>99</v>
      </c>
      <c r="C10" s="133"/>
      <c r="F10" s="132" t="s">
        <v>101</v>
      </c>
      <c r="G10" s="135" t="s">
        <v>102</v>
      </c>
      <c r="H10" s="135" t="s">
        <v>103</v>
      </c>
      <c r="I10" s="130" t="s">
        <v>104</v>
      </c>
      <c r="L10" s="137"/>
      <c r="M10" s="139" t="s">
        <v>125</v>
      </c>
      <c r="N10" s="139" t="s">
        <v>126</v>
      </c>
      <c r="O10" s="139" t="s">
        <v>127</v>
      </c>
      <c r="P10" s="139" t="s">
        <v>129</v>
      </c>
      <c r="Q10" s="130" t="s">
        <v>128</v>
      </c>
    </row>
    <row r="11" spans="2:17" x14ac:dyDescent="0.3">
      <c r="B11" s="134"/>
      <c r="C11" s="131"/>
      <c r="F11" s="134"/>
      <c r="G11" s="136"/>
      <c r="H11" s="136"/>
      <c r="I11" s="131"/>
      <c r="L11" s="138"/>
      <c r="M11" s="140"/>
      <c r="N11" s="140"/>
      <c r="O11" s="140"/>
      <c r="P11" s="140"/>
      <c r="Q11" s="131"/>
    </row>
    <row r="12" spans="2:17" x14ac:dyDescent="0.3">
      <c r="B12" s="33" t="s">
        <v>94</v>
      </c>
      <c r="C12" s="58">
        <v>170000</v>
      </c>
      <c r="F12" s="33" t="s">
        <v>105</v>
      </c>
      <c r="G12" s="55">
        <v>0.9</v>
      </c>
      <c r="H12" s="48">
        <f>6.035*'Design range'!$D$47^0.1111</f>
        <v>25.116250823210155</v>
      </c>
      <c r="I12" s="49">
        <f t="shared" ref="I12:I18" si="0">G12*H12</f>
        <v>22.604625740889141</v>
      </c>
      <c r="L12" s="33" t="s">
        <v>94</v>
      </c>
      <c r="M12" s="58">
        <v>6600</v>
      </c>
      <c r="N12" s="58">
        <v>47500</v>
      </c>
      <c r="O12" s="58">
        <v>170000</v>
      </c>
      <c r="P12" s="58">
        <v>21500</v>
      </c>
      <c r="Q12" s="56">
        <v>11000</v>
      </c>
    </row>
    <row r="13" spans="2:17" x14ac:dyDescent="0.3">
      <c r="B13" s="33" t="s">
        <v>95</v>
      </c>
      <c r="C13" s="58">
        <v>300000</v>
      </c>
      <c r="F13" s="33" t="s">
        <v>106</v>
      </c>
      <c r="G13" s="55">
        <v>0.88</v>
      </c>
      <c r="H13" s="48">
        <f>6.875*'Design range'!$D$47^(-0.0323)</f>
        <v>4.5418283651153262</v>
      </c>
      <c r="I13" s="49">
        <f t="shared" si="0"/>
        <v>3.996808961301487</v>
      </c>
      <c r="L13" s="33" t="s">
        <v>95</v>
      </c>
      <c r="M13" s="58">
        <v>10000</v>
      </c>
      <c r="N13" s="58">
        <v>80000</v>
      </c>
      <c r="O13" s="58">
        <v>300000</v>
      </c>
      <c r="P13" s="58">
        <v>40000</v>
      </c>
      <c r="Q13" s="56">
        <v>25000</v>
      </c>
    </row>
    <row r="14" spans="2:17" x14ac:dyDescent="0.3">
      <c r="B14" s="37"/>
      <c r="C14" s="58"/>
      <c r="F14" s="33" t="s">
        <v>107</v>
      </c>
      <c r="G14" s="55">
        <v>0.95</v>
      </c>
      <c r="H14" s="48">
        <f>10.24*'Design range'!$D$47^0.06461</f>
        <v>23.466032381438328</v>
      </c>
      <c r="I14" s="49">
        <f t="shared" si="0"/>
        <v>22.292730762366411</v>
      </c>
      <c r="L14" s="37"/>
      <c r="M14" s="58"/>
      <c r="N14" s="58"/>
      <c r="O14" s="58"/>
      <c r="P14" s="58"/>
      <c r="Q14" s="56"/>
    </row>
    <row r="15" spans="2:17" x14ac:dyDescent="0.3">
      <c r="B15" s="33" t="s">
        <v>96</v>
      </c>
      <c r="C15" s="58">
        <v>410000</v>
      </c>
      <c r="F15" s="33" t="s">
        <v>108</v>
      </c>
      <c r="G15" s="55">
        <v>1</v>
      </c>
      <c r="H15" s="48">
        <f>2.477*'Design range'!$D$47^0.10454</f>
        <v>9.4762768738916048</v>
      </c>
      <c r="I15" s="49">
        <f t="shared" si="0"/>
        <v>9.4762768738916048</v>
      </c>
      <c r="L15" s="33" t="s">
        <v>96</v>
      </c>
      <c r="M15" s="58">
        <v>52000</v>
      </c>
      <c r="N15" s="58">
        <v>135000</v>
      </c>
      <c r="O15" s="58">
        <v>410000</v>
      </c>
      <c r="P15" s="58">
        <v>410000</v>
      </c>
      <c r="Q15" s="56">
        <v>47000</v>
      </c>
    </row>
    <row r="16" spans="2:17" ht="12.9" thickBot="1" x14ac:dyDescent="0.35">
      <c r="B16" s="33" t="s">
        <v>97</v>
      </c>
      <c r="C16" s="59">
        <v>900000</v>
      </c>
      <c r="F16" s="33" t="s">
        <v>130</v>
      </c>
      <c r="G16" s="55">
        <v>0.98</v>
      </c>
      <c r="H16" s="48">
        <f>32.4*'Design range'!$D$47^(-0.08509)</f>
        <v>10.870478212350966</v>
      </c>
      <c r="I16" s="49">
        <f t="shared" si="0"/>
        <v>10.653068648103947</v>
      </c>
      <c r="L16" s="34" t="s">
        <v>97</v>
      </c>
      <c r="M16" s="59">
        <v>100000</v>
      </c>
      <c r="N16" s="59">
        <v>260000</v>
      </c>
      <c r="O16" s="59">
        <v>900000</v>
      </c>
      <c r="P16" s="59">
        <v>1000000</v>
      </c>
      <c r="Q16" s="57">
        <v>90000</v>
      </c>
    </row>
    <row r="17" spans="2:17" x14ac:dyDescent="0.3">
      <c r="B17" s="38"/>
      <c r="C17" s="39"/>
      <c r="F17" s="33" t="s">
        <v>109</v>
      </c>
      <c r="G17" s="55">
        <v>0.95</v>
      </c>
      <c r="H17" s="48">
        <f>9*'Design range'!$D$47^0.04165</f>
        <v>15.360378242761737</v>
      </c>
      <c r="I17" s="49">
        <f t="shared" si="0"/>
        <v>14.592359330623649</v>
      </c>
    </row>
    <row r="18" spans="2:17" x14ac:dyDescent="0.3">
      <c r="B18" s="40" t="s">
        <v>100</v>
      </c>
      <c r="C18" s="41"/>
      <c r="F18" s="33" t="s">
        <v>110</v>
      </c>
      <c r="G18" s="55">
        <v>1</v>
      </c>
      <c r="H18" s="48">
        <f>100-SUM(H11:H17)</f>
        <v>11.168755101231881</v>
      </c>
      <c r="I18" s="49">
        <f t="shared" si="0"/>
        <v>11.168755101231881</v>
      </c>
    </row>
    <row r="19" spans="2:17" ht="12.9" thickBot="1" x14ac:dyDescent="0.35">
      <c r="B19" s="33" t="s">
        <v>84</v>
      </c>
      <c r="C19" s="36">
        <f>(LOG10(Wempty2)-LOG10(Wempty1))/(LOG10(Wtakeoff2)-LOG10(Wtakeoff1))</f>
        <v>0.80133704285738871</v>
      </c>
      <c r="F19" s="46" t="s">
        <v>111</v>
      </c>
      <c r="G19" s="35"/>
      <c r="H19" s="35">
        <f>SUM(H11:H18)</f>
        <v>100</v>
      </c>
      <c r="I19" s="45">
        <f>SUM(I11:I18)</f>
        <v>94.784625418408126</v>
      </c>
      <c r="P19" s="65"/>
      <c r="Q19" s="51"/>
    </row>
    <row r="20" spans="2:17" ht="12.9" thickBot="1" x14ac:dyDescent="0.35">
      <c r="B20" s="34" t="s">
        <v>83</v>
      </c>
      <c r="C20" s="42">
        <f>10^(LOG10(C12)-C19*LOG10(C13))</f>
        <v>6.9411075189362705</v>
      </c>
      <c r="F20" s="50"/>
      <c r="G20" s="51"/>
      <c r="H20" s="51"/>
      <c r="I20" s="52"/>
      <c r="P20" s="65"/>
      <c r="Q20" s="51"/>
    </row>
    <row r="22" spans="2:17" x14ac:dyDescent="0.3">
      <c r="B22" s="12" t="s">
        <v>123</v>
      </c>
    </row>
    <row r="23" spans="2:17" x14ac:dyDescent="0.3">
      <c r="B23" s="12" t="s">
        <v>98</v>
      </c>
      <c r="C23" s="47">
        <v>600000</v>
      </c>
    </row>
    <row r="24" spans="2:17" x14ac:dyDescent="0.3">
      <c r="B24" s="12" t="s">
        <v>115</v>
      </c>
      <c r="C24">
        <f>C20*C23^C19</f>
        <v>296261.62997699465</v>
      </c>
    </row>
    <row r="25" spans="2:17" ht="12.9" thickBot="1" x14ac:dyDescent="0.35"/>
    <row r="26" spans="2:17" x14ac:dyDescent="0.3">
      <c r="B26" s="132" t="s">
        <v>112</v>
      </c>
      <c r="C26" s="133"/>
    </row>
    <row r="27" spans="2:17" x14ac:dyDescent="0.3">
      <c r="B27" s="134"/>
      <c r="C27" s="131"/>
    </row>
    <row r="28" spans="2:17" x14ac:dyDescent="0.3">
      <c r="B28" s="33" t="s">
        <v>94</v>
      </c>
      <c r="C28" s="44">
        <f>Wempty1*I19/100</f>
        <v>161133.86321129382</v>
      </c>
    </row>
    <row r="29" spans="2:17" x14ac:dyDescent="0.3">
      <c r="B29" s="33" t="s">
        <v>95</v>
      </c>
      <c r="C29" s="44">
        <f>C13</f>
        <v>300000</v>
      </c>
    </row>
    <row r="30" spans="2:17" x14ac:dyDescent="0.3">
      <c r="B30" s="37"/>
      <c r="C30" s="44"/>
    </row>
    <row r="31" spans="2:17" x14ac:dyDescent="0.3">
      <c r="B31" s="33" t="s">
        <v>96</v>
      </c>
      <c r="C31" s="44">
        <f>Wempty2*I19/100</f>
        <v>388616.96421547333</v>
      </c>
    </row>
    <row r="32" spans="2:17" x14ac:dyDescent="0.3">
      <c r="B32" s="33" t="s">
        <v>97</v>
      </c>
      <c r="C32" s="44">
        <f>C16</f>
        <v>900000</v>
      </c>
    </row>
    <row r="33" spans="2:3" x14ac:dyDescent="0.3">
      <c r="B33" s="37"/>
      <c r="C33" s="36"/>
    </row>
    <row r="34" spans="2:3" x14ac:dyDescent="0.3">
      <c r="B34" s="40" t="s">
        <v>100</v>
      </c>
      <c r="C34" s="41"/>
    </row>
    <row r="35" spans="2:3" x14ac:dyDescent="0.3">
      <c r="B35" s="33" t="s">
        <v>113</v>
      </c>
      <c r="C35" s="36">
        <f>LOG10(C31/C28)/LOG10(Wtakeoff2/C29)</f>
        <v>0.80133704285738949</v>
      </c>
    </row>
    <row r="36" spans="2:3" ht="12.9" thickBot="1" x14ac:dyDescent="0.35">
      <c r="B36" s="34" t="s">
        <v>114</v>
      </c>
      <c r="C36" s="42">
        <f>10^(LOG10(C28)-C35*LOG10(C29))</f>
        <v>6.5791027617126412</v>
      </c>
    </row>
  </sheetData>
  <mergeCells count="12">
    <mergeCell ref="Q10:Q11"/>
    <mergeCell ref="I10:I11"/>
    <mergeCell ref="B26:C27"/>
    <mergeCell ref="B10:C11"/>
    <mergeCell ref="F10:F11"/>
    <mergeCell ref="G10:G11"/>
    <mergeCell ref="H10:H11"/>
    <mergeCell ref="L10:L11"/>
    <mergeCell ref="M10:M11"/>
    <mergeCell ref="N10:N11"/>
    <mergeCell ref="O10:O11"/>
    <mergeCell ref="P10:P11"/>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27</vt:i4>
      </vt:variant>
    </vt:vector>
  </HeadingPairs>
  <TitlesOfParts>
    <vt:vector size="32" baseType="lpstr">
      <vt:lpstr>Design range</vt:lpstr>
      <vt:lpstr>Definitions</vt:lpstr>
      <vt:lpstr>Off-design range</vt:lpstr>
      <vt:lpstr>Max range</vt:lpstr>
      <vt:lpstr>Empty Weight =n</vt:lpstr>
      <vt:lpstr>a</vt:lpstr>
      <vt:lpstr>Cloiter</vt:lpstr>
      <vt:lpstr>CoeffA</vt:lpstr>
      <vt:lpstr>CoeffB</vt:lpstr>
      <vt:lpstr>cruiserange</vt:lpstr>
      <vt:lpstr>E</vt:lpstr>
      <vt:lpstr>EW_available</vt:lpstr>
      <vt:lpstr>EW_available_maxrange</vt:lpstr>
      <vt:lpstr>LoD</vt:lpstr>
      <vt:lpstr>maxrange</vt:lpstr>
      <vt:lpstr>Mcruise</vt:lpstr>
      <vt:lpstr>MTOGW</vt:lpstr>
      <vt:lpstr>MTOGW_reduction</vt:lpstr>
      <vt:lpstr>nopax</vt:lpstr>
      <vt:lpstr>npax</vt:lpstr>
      <vt:lpstr>numpax</vt:lpstr>
      <vt:lpstr>offdespayload</vt:lpstr>
      <vt:lpstr>Payload</vt:lpstr>
      <vt:lpstr>range</vt:lpstr>
      <vt:lpstr>sfc</vt:lpstr>
      <vt:lpstr>TOGW</vt:lpstr>
      <vt:lpstr>WEITDIFF</vt:lpstr>
      <vt:lpstr>Wempty1</vt:lpstr>
      <vt:lpstr>Wempty2</vt:lpstr>
      <vt:lpstr>Wtakeoff1</vt:lpstr>
      <vt:lpstr>Wtakeoff2</vt:lpstr>
      <vt:lpstr>ZFL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Stokes</dc:creator>
  <cp:lastModifiedBy>Tony Hays</cp:lastModifiedBy>
  <dcterms:created xsi:type="dcterms:W3CDTF">2011-09-15T20:00:35Z</dcterms:created>
  <dcterms:modified xsi:type="dcterms:W3CDTF">2017-03-12T12:29:54Z</dcterms:modified>
</cp:coreProperties>
</file>