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ony Hays\Aircraft Design\Spreadsheets\Drag Map\"/>
    </mc:Choice>
  </mc:AlternateContent>
  <bookViews>
    <workbookView xWindow="32595" yWindow="105" windowWidth="23145" windowHeight="12675" activeTab="4"/>
  </bookViews>
  <sheets>
    <sheet name="Instructions" sheetId="6" r:id="rId1"/>
    <sheet name="Drag Rise" sheetId="5" r:id="rId2"/>
    <sheet name="HS Drag Map " sheetId="1" r:id="rId3"/>
    <sheet name="Wing Characteristics" sheetId="4" r:id="rId4"/>
    <sheet name="LS Polars" sheetId="3" r:id="rId5"/>
  </sheets>
  <definedNames>
    <definedName name="AR">'HS Drag Map '!$B$13</definedName>
    <definedName name="CD0">'HS Drag Map '!$B$12</definedName>
    <definedName name="CDflaps15">'LS Polars'!$B$9</definedName>
    <definedName name="CDflaps25">'LS Polars'!$B$10</definedName>
    <definedName name="CDflaps50">'LS Polars'!$B$11</definedName>
    <definedName name="CDslats">'LS Polars'!$B$8</definedName>
    <definedName name="e">'HS Drag Map '!$B$14</definedName>
    <definedName name="Ka">'HS Drag Map '!$B$21</definedName>
    <definedName name="lambda">'HS Drag Map '!$B$16</definedName>
    <definedName name="lambda1o4c">'HS Drag Map '!$B$17</definedName>
    <definedName name="lambdaco2">'HS Drag Map '!$B$20</definedName>
    <definedName name="MDDDiff">'HS Drag Map '!$B$11</definedName>
    <definedName name="toc">'HS Drag Map '!$B$15</definedName>
  </definedNames>
  <calcPr calcId="152511"/>
</workbook>
</file>

<file path=xl/calcChain.xml><?xml version="1.0" encoding="utf-8"?>
<calcChain xmlns="http://schemas.openxmlformats.org/spreadsheetml/2006/main">
  <c r="AE72" i="1" l="1"/>
  <c r="AE71" i="1"/>
  <c r="AE70" i="1"/>
  <c r="AE69" i="1"/>
  <c r="AE68" i="1"/>
  <c r="AE67" i="1"/>
  <c r="AE66" i="1"/>
  <c r="G11" i="5"/>
  <c r="G12" i="5"/>
  <c r="G13" i="5"/>
  <c r="G14" i="5"/>
  <c r="H14" i="5"/>
  <c r="G15" i="5"/>
  <c r="H15" i="5"/>
  <c r="G16" i="5"/>
  <c r="H16" i="5"/>
  <c r="G17" i="5"/>
  <c r="H17" i="5"/>
  <c r="G18" i="5"/>
  <c r="H18" i="5"/>
  <c r="G19" i="5"/>
  <c r="H19" i="5"/>
  <c r="G20" i="5"/>
  <c r="H20" i="5"/>
  <c r="G21" i="5"/>
  <c r="H21" i="5"/>
  <c r="G22" i="5"/>
  <c r="H22" i="5"/>
  <c r="G23" i="5"/>
  <c r="H23" i="5"/>
  <c r="G30" i="5"/>
  <c r="G31" i="5"/>
  <c r="B18" i="1" l="1"/>
  <c r="B20" i="1" s="1"/>
  <c r="C39" i="1" l="1"/>
  <c r="C71" i="1" s="1"/>
  <c r="C31" i="1"/>
  <c r="C38" i="1"/>
  <c r="C30" i="1"/>
  <c r="C37" i="1"/>
  <c r="C29" i="1"/>
  <c r="C36" i="1"/>
  <c r="C104" i="1" s="1"/>
  <c r="C28" i="1"/>
  <c r="C35" i="1"/>
  <c r="C51" i="1" s="1"/>
  <c r="C27" i="1"/>
  <c r="C34" i="1"/>
  <c r="C41" i="1"/>
  <c r="C57" i="1" s="1"/>
  <c r="C33" i="1"/>
  <c r="C40" i="1"/>
  <c r="C56" i="1" s="1"/>
  <c r="C32" i="1"/>
  <c r="C100" i="1" s="1"/>
  <c r="C99" i="1"/>
  <c r="C95" i="1"/>
  <c r="B19" i="1"/>
  <c r="D71" i="1" l="1"/>
  <c r="AB57" i="1"/>
  <c r="T57" i="1"/>
  <c r="L57" i="1"/>
  <c r="D57" i="1"/>
  <c r="V57" i="1"/>
  <c r="AA57" i="1"/>
  <c r="S57" i="1"/>
  <c r="K57" i="1"/>
  <c r="Z57" i="1"/>
  <c r="R57" i="1"/>
  <c r="J57" i="1"/>
  <c r="Y57" i="1"/>
  <c r="Q57" i="1"/>
  <c r="I57" i="1"/>
  <c r="O57" i="1"/>
  <c r="F57" i="1"/>
  <c r="X57" i="1"/>
  <c r="P57" i="1"/>
  <c r="H57" i="1"/>
  <c r="W57" i="1"/>
  <c r="G57" i="1"/>
  <c r="N57" i="1"/>
  <c r="U57" i="1"/>
  <c r="M57" i="1"/>
  <c r="E57" i="1"/>
  <c r="Z51" i="1"/>
  <c r="R51" i="1"/>
  <c r="J51" i="1"/>
  <c r="M51" i="1"/>
  <c r="D51" i="1"/>
  <c r="Y51" i="1"/>
  <c r="Q51" i="1"/>
  <c r="I51" i="1"/>
  <c r="L51" i="1"/>
  <c r="X51" i="1"/>
  <c r="P51" i="1"/>
  <c r="H51" i="1"/>
  <c r="W51" i="1"/>
  <c r="O51" i="1"/>
  <c r="G51" i="1"/>
  <c r="E51" i="1"/>
  <c r="V51" i="1"/>
  <c r="N51" i="1"/>
  <c r="F51" i="1"/>
  <c r="U51" i="1"/>
  <c r="AB51" i="1"/>
  <c r="AA51" i="1"/>
  <c r="S51" i="1"/>
  <c r="K51" i="1"/>
  <c r="T51" i="1"/>
  <c r="U56" i="1"/>
  <c r="M56" i="1"/>
  <c r="E56" i="1"/>
  <c r="X56" i="1"/>
  <c r="AB56" i="1"/>
  <c r="T56" i="1"/>
  <c r="L56" i="1"/>
  <c r="D56" i="1"/>
  <c r="H56" i="1"/>
  <c r="W56" i="1"/>
  <c r="AA56" i="1"/>
  <c r="S56" i="1"/>
  <c r="K56" i="1"/>
  <c r="G56" i="1"/>
  <c r="Z56" i="1"/>
  <c r="R56" i="1"/>
  <c r="J56" i="1"/>
  <c r="Y56" i="1"/>
  <c r="Q56" i="1"/>
  <c r="I56" i="1"/>
  <c r="P56" i="1"/>
  <c r="V56" i="1"/>
  <c r="N56" i="1"/>
  <c r="F56" i="1"/>
  <c r="O56" i="1"/>
  <c r="C82" i="1"/>
  <c r="C48" i="1"/>
  <c r="C64" i="1"/>
  <c r="C98" i="1"/>
  <c r="C80" i="1"/>
  <c r="C62" i="1"/>
  <c r="C46" i="1"/>
  <c r="C50" i="1"/>
  <c r="C102" i="1"/>
  <c r="C84" i="1"/>
  <c r="C66" i="1"/>
  <c r="C52" i="1"/>
  <c r="C68" i="1"/>
  <c r="C86" i="1"/>
  <c r="C72" i="1"/>
  <c r="C90" i="1"/>
  <c r="C108" i="1"/>
  <c r="C70" i="1"/>
  <c r="C54" i="1"/>
  <c r="C88" i="1"/>
  <c r="C106" i="1"/>
  <c r="C91" i="1"/>
  <c r="C73" i="1"/>
  <c r="C109" i="1"/>
  <c r="C78" i="1"/>
  <c r="C44" i="1"/>
  <c r="C96" i="1"/>
  <c r="C60" i="1"/>
  <c r="C105" i="1"/>
  <c r="C87" i="1"/>
  <c r="C53" i="1"/>
  <c r="C69" i="1"/>
  <c r="C89" i="1"/>
  <c r="C55" i="1"/>
  <c r="C107" i="1"/>
  <c r="C79" i="1"/>
  <c r="C45" i="1"/>
  <c r="C61" i="1"/>
  <c r="C97" i="1"/>
  <c r="C103" i="1"/>
  <c r="C67" i="1"/>
  <c r="C85" i="1"/>
  <c r="C59" i="1"/>
  <c r="C77" i="1"/>
  <c r="C43" i="1"/>
  <c r="C81" i="1"/>
  <c r="C63" i="1"/>
  <c r="C47" i="1"/>
  <c r="C101" i="1"/>
  <c r="C65" i="1"/>
  <c r="C83" i="1"/>
  <c r="C49" i="1"/>
  <c r="E60" i="1" l="1"/>
  <c r="D60" i="1"/>
  <c r="E59" i="1"/>
  <c r="D59" i="1"/>
  <c r="E66" i="1"/>
  <c r="D66" i="1"/>
  <c r="D84" i="1" s="1"/>
  <c r="D34" i="1" s="1"/>
  <c r="D102" i="1" s="1"/>
  <c r="E64" i="1"/>
  <c r="E82" i="1" s="1"/>
  <c r="E32" i="1" s="1"/>
  <c r="E100" i="1" s="1"/>
  <c r="D64" i="1"/>
  <c r="D82" i="1" s="1"/>
  <c r="D32" i="1" s="1"/>
  <c r="D100" i="1" s="1"/>
  <c r="D65" i="1"/>
  <c r="E65" i="1"/>
  <c r="D70" i="1"/>
  <c r="Z67" i="1"/>
  <c r="R67" i="1"/>
  <c r="J67" i="1"/>
  <c r="Y67" i="1"/>
  <c r="Y85" i="1" s="1"/>
  <c r="Q67" i="1"/>
  <c r="I67" i="1"/>
  <c r="X67" i="1"/>
  <c r="P67" i="1"/>
  <c r="H67" i="1"/>
  <c r="W67" i="1"/>
  <c r="W85" i="1" s="1"/>
  <c r="O67" i="1"/>
  <c r="G67" i="1"/>
  <c r="V67" i="1"/>
  <c r="N67" i="1"/>
  <c r="F67" i="1"/>
  <c r="U67" i="1"/>
  <c r="M67" i="1"/>
  <c r="E67" i="1"/>
  <c r="AB67" i="1"/>
  <c r="T67" i="1"/>
  <c r="T85" i="1" s="1"/>
  <c r="L67" i="1"/>
  <c r="D67" i="1"/>
  <c r="AA67" i="1"/>
  <c r="S67" i="1"/>
  <c r="K67" i="1"/>
  <c r="E69" i="1"/>
  <c r="D69" i="1"/>
  <c r="D87" i="1" s="1"/>
  <c r="D37" i="1" s="1"/>
  <c r="D105" i="1" s="1"/>
  <c r="E63" i="1"/>
  <c r="D63" i="1"/>
  <c r="AB73" i="1"/>
  <c r="T73" i="1"/>
  <c r="L73" i="1"/>
  <c r="D73" i="1"/>
  <c r="AA73" i="1"/>
  <c r="AA91" i="1" s="1"/>
  <c r="AA41" i="1" s="1"/>
  <c r="AA109" i="1" s="1"/>
  <c r="S73" i="1"/>
  <c r="S91" i="1" s="1"/>
  <c r="S41" i="1" s="1"/>
  <c r="S109" i="1" s="1"/>
  <c r="K73" i="1"/>
  <c r="Z73" i="1"/>
  <c r="Z91" i="1" s="1"/>
  <c r="Z41" i="1" s="1"/>
  <c r="Z109" i="1" s="1"/>
  <c r="R73" i="1"/>
  <c r="J73" i="1"/>
  <c r="Y73" i="1"/>
  <c r="Q73" i="1"/>
  <c r="I73" i="1"/>
  <c r="X73" i="1"/>
  <c r="X91" i="1" s="1"/>
  <c r="X41" i="1" s="1"/>
  <c r="X109" i="1" s="1"/>
  <c r="P73" i="1"/>
  <c r="P91" i="1" s="1"/>
  <c r="P41" i="1" s="1"/>
  <c r="P109" i="1" s="1"/>
  <c r="H73" i="1"/>
  <c r="W73" i="1"/>
  <c r="O73" i="1"/>
  <c r="G73" i="1"/>
  <c r="V73" i="1"/>
  <c r="N73" i="1"/>
  <c r="F73" i="1"/>
  <c r="U73" i="1"/>
  <c r="U91" i="1" s="1"/>
  <c r="U41" i="1" s="1"/>
  <c r="U109" i="1" s="1"/>
  <c r="M73" i="1"/>
  <c r="E73" i="1"/>
  <c r="U72" i="1"/>
  <c r="M72" i="1"/>
  <c r="E72" i="1"/>
  <c r="AB72" i="1"/>
  <c r="AB90" i="1" s="1"/>
  <c r="AB40" i="1" s="1"/>
  <c r="AB108" i="1" s="1"/>
  <c r="T72" i="1"/>
  <c r="T90" i="1" s="1"/>
  <c r="T40" i="1" s="1"/>
  <c r="T108" i="1" s="1"/>
  <c r="L72" i="1"/>
  <c r="L90" i="1" s="1"/>
  <c r="L40" i="1" s="1"/>
  <c r="L108" i="1" s="1"/>
  <c r="D72" i="1"/>
  <c r="D90" i="1" s="1"/>
  <c r="D40" i="1" s="1"/>
  <c r="D108" i="1" s="1"/>
  <c r="AA72" i="1"/>
  <c r="S72" i="1"/>
  <c r="K72" i="1"/>
  <c r="Z72" i="1"/>
  <c r="R72" i="1"/>
  <c r="J72" i="1"/>
  <c r="J90" i="1" s="1"/>
  <c r="J40" i="1" s="1"/>
  <c r="J108" i="1" s="1"/>
  <c r="Y72" i="1"/>
  <c r="Y90" i="1" s="1"/>
  <c r="Y40" i="1" s="1"/>
  <c r="Y108" i="1" s="1"/>
  <c r="Q72" i="1"/>
  <c r="Q90" i="1" s="1"/>
  <c r="Q40" i="1" s="1"/>
  <c r="Q108" i="1" s="1"/>
  <c r="I72" i="1"/>
  <c r="X72" i="1"/>
  <c r="P72" i="1"/>
  <c r="H72" i="1"/>
  <c r="W72" i="1"/>
  <c r="W90" i="1" s="1"/>
  <c r="W40" i="1" s="1"/>
  <c r="W108" i="1" s="1"/>
  <c r="O72" i="1"/>
  <c r="O90" i="1" s="1"/>
  <c r="O40" i="1" s="1"/>
  <c r="O108" i="1" s="1"/>
  <c r="G72" i="1"/>
  <c r="G90" i="1" s="1"/>
  <c r="G40" i="1" s="1"/>
  <c r="G108" i="1" s="1"/>
  <c r="V72" i="1"/>
  <c r="V90" i="1" s="1"/>
  <c r="V40" i="1" s="1"/>
  <c r="V108" i="1" s="1"/>
  <c r="N72" i="1"/>
  <c r="F72" i="1"/>
  <c r="E61" i="1"/>
  <c r="D61" i="1"/>
  <c r="E62" i="1"/>
  <c r="D62" i="1"/>
  <c r="D80" i="1" s="1"/>
  <c r="D30" i="1" s="1"/>
  <c r="D98" i="1" s="1"/>
  <c r="N68" i="1"/>
  <c r="E68" i="1"/>
  <c r="D68" i="1"/>
  <c r="D86" i="1" s="1"/>
  <c r="D36" i="1" s="1"/>
  <c r="D104" i="1" s="1"/>
  <c r="AB49" i="1"/>
  <c r="AB65" i="1" s="1"/>
  <c r="T49" i="1"/>
  <c r="T65" i="1" s="1"/>
  <c r="L49" i="1"/>
  <c r="L65" i="1" s="1"/>
  <c r="D49" i="1"/>
  <c r="O49" i="1"/>
  <c r="O65" i="1" s="1"/>
  <c r="F49" i="1"/>
  <c r="F65" i="1" s="1"/>
  <c r="AA49" i="1"/>
  <c r="AA65" i="1" s="1"/>
  <c r="S49" i="1"/>
  <c r="S65" i="1" s="1"/>
  <c r="K49" i="1"/>
  <c r="K65" i="1" s="1"/>
  <c r="N49" i="1"/>
  <c r="N65" i="1" s="1"/>
  <c r="Z49" i="1"/>
  <c r="Z65" i="1" s="1"/>
  <c r="R49" i="1"/>
  <c r="R65" i="1" s="1"/>
  <c r="J49" i="1"/>
  <c r="J65" i="1" s="1"/>
  <c r="Y49" i="1"/>
  <c r="Y65" i="1" s="1"/>
  <c r="Q49" i="1"/>
  <c r="Q65" i="1" s="1"/>
  <c r="I49" i="1"/>
  <c r="I65" i="1" s="1"/>
  <c r="G49" i="1"/>
  <c r="G65" i="1" s="1"/>
  <c r="X49" i="1"/>
  <c r="X65" i="1" s="1"/>
  <c r="P49" i="1"/>
  <c r="P65" i="1" s="1"/>
  <c r="H49" i="1"/>
  <c r="H65" i="1" s="1"/>
  <c r="U49" i="1"/>
  <c r="U65" i="1" s="1"/>
  <c r="M49" i="1"/>
  <c r="M65" i="1" s="1"/>
  <c r="E49" i="1"/>
  <c r="W49" i="1"/>
  <c r="W65" i="1" s="1"/>
  <c r="V49" i="1"/>
  <c r="V65" i="1" s="1"/>
  <c r="Y52" i="1"/>
  <c r="Y68" i="1" s="1"/>
  <c r="Y86" i="1" s="1"/>
  <c r="Y36" i="1" s="1"/>
  <c r="Y104" i="1" s="1"/>
  <c r="Q52" i="1"/>
  <c r="Q68" i="1" s="1"/>
  <c r="I52" i="1"/>
  <c r="I68" i="1" s="1"/>
  <c r="AB52" i="1"/>
  <c r="AB68" i="1" s="1"/>
  <c r="S52" i="1"/>
  <c r="S68" i="1" s="1"/>
  <c r="X52" i="1"/>
  <c r="X68" i="1" s="1"/>
  <c r="P52" i="1"/>
  <c r="P68" i="1" s="1"/>
  <c r="H52" i="1"/>
  <c r="H68" i="1" s="1"/>
  <c r="T52" i="1"/>
  <c r="T68" i="1" s="1"/>
  <c r="W52" i="1"/>
  <c r="W68" i="1" s="1"/>
  <c r="O52" i="1"/>
  <c r="O68" i="1" s="1"/>
  <c r="G52" i="1"/>
  <c r="G68" i="1" s="1"/>
  <c r="L52" i="1"/>
  <c r="L68" i="1" s="1"/>
  <c r="K52" i="1"/>
  <c r="K68" i="1" s="1"/>
  <c r="V52" i="1"/>
  <c r="V68" i="1" s="1"/>
  <c r="N52" i="1"/>
  <c r="F52" i="1"/>
  <c r="F68" i="1" s="1"/>
  <c r="D52" i="1"/>
  <c r="AA52" i="1"/>
  <c r="AA68" i="1" s="1"/>
  <c r="U52" i="1"/>
  <c r="U68" i="1" s="1"/>
  <c r="M52" i="1"/>
  <c r="M68" i="1" s="1"/>
  <c r="E52" i="1"/>
  <c r="Z52" i="1"/>
  <c r="Z68" i="1" s="1"/>
  <c r="R52" i="1"/>
  <c r="R68" i="1" s="1"/>
  <c r="J52" i="1"/>
  <c r="J68" i="1" s="1"/>
  <c r="V55" i="1"/>
  <c r="V71" i="1" s="1"/>
  <c r="N55" i="1"/>
  <c r="N71" i="1" s="1"/>
  <c r="F55" i="1"/>
  <c r="F71" i="1" s="1"/>
  <c r="U55" i="1"/>
  <c r="U71" i="1" s="1"/>
  <c r="M55" i="1"/>
  <c r="M71" i="1" s="1"/>
  <c r="E55" i="1"/>
  <c r="E71" i="1" s="1"/>
  <c r="H55" i="1"/>
  <c r="H71" i="1" s="1"/>
  <c r="AB55" i="1"/>
  <c r="AB71" i="1" s="1"/>
  <c r="T55" i="1"/>
  <c r="T71" i="1" s="1"/>
  <c r="L55" i="1"/>
  <c r="L71" i="1" s="1"/>
  <c r="D55" i="1"/>
  <c r="Y55" i="1"/>
  <c r="Y71" i="1" s="1"/>
  <c r="AA55" i="1"/>
  <c r="AA71" i="1" s="1"/>
  <c r="S55" i="1"/>
  <c r="S71" i="1" s="1"/>
  <c r="K55" i="1"/>
  <c r="K71" i="1" s="1"/>
  <c r="Q55" i="1"/>
  <c r="Q71" i="1" s="1"/>
  <c r="Z55" i="1"/>
  <c r="Z71" i="1" s="1"/>
  <c r="R55" i="1"/>
  <c r="R71" i="1" s="1"/>
  <c r="J55" i="1"/>
  <c r="J71" i="1" s="1"/>
  <c r="I55" i="1"/>
  <c r="I71" i="1" s="1"/>
  <c r="X55" i="1"/>
  <c r="X71" i="1" s="1"/>
  <c r="W55" i="1"/>
  <c r="W71" i="1" s="1"/>
  <c r="O55" i="1"/>
  <c r="O71" i="1" s="1"/>
  <c r="G55" i="1"/>
  <c r="G71" i="1" s="1"/>
  <c r="P55" i="1"/>
  <c r="P71" i="1" s="1"/>
  <c r="U48" i="1"/>
  <c r="U64" i="1" s="1"/>
  <c r="M48" i="1"/>
  <c r="M64" i="1" s="1"/>
  <c r="E48" i="1"/>
  <c r="AB48" i="1"/>
  <c r="AB64" i="1" s="1"/>
  <c r="AB82" i="1" s="1"/>
  <c r="AB32" i="1" s="1"/>
  <c r="AB100" i="1" s="1"/>
  <c r="T48" i="1"/>
  <c r="T64" i="1" s="1"/>
  <c r="L48" i="1"/>
  <c r="L64" i="1" s="1"/>
  <c r="L82" i="1" s="1"/>
  <c r="L32" i="1" s="1"/>
  <c r="L100" i="1" s="1"/>
  <c r="D48" i="1"/>
  <c r="P48" i="1"/>
  <c r="P64" i="1" s="1"/>
  <c r="AA48" i="1"/>
  <c r="AA64" i="1" s="1"/>
  <c r="S48" i="1"/>
  <c r="S64" i="1" s="1"/>
  <c r="K48" i="1"/>
  <c r="K64" i="1" s="1"/>
  <c r="K82" i="1" s="1"/>
  <c r="K32" i="1" s="1"/>
  <c r="K100" i="1" s="1"/>
  <c r="Z48" i="1"/>
  <c r="Z64" i="1" s="1"/>
  <c r="R48" i="1"/>
  <c r="R64" i="1" s="1"/>
  <c r="J48" i="1"/>
  <c r="J64" i="1" s="1"/>
  <c r="H48" i="1"/>
  <c r="H64" i="1" s="1"/>
  <c r="W48" i="1"/>
  <c r="W64" i="1" s="1"/>
  <c r="Y48" i="1"/>
  <c r="Q48" i="1"/>
  <c r="I48" i="1"/>
  <c r="I64" i="1" s="1"/>
  <c r="X48" i="1"/>
  <c r="X64" i="1" s="1"/>
  <c r="X82" i="1" s="1"/>
  <c r="X32" i="1" s="1"/>
  <c r="X100" i="1" s="1"/>
  <c r="O48" i="1"/>
  <c r="O64" i="1" s="1"/>
  <c r="V48" i="1"/>
  <c r="V64" i="1" s="1"/>
  <c r="N48" i="1"/>
  <c r="N64" i="1" s="1"/>
  <c r="F48" i="1"/>
  <c r="F64" i="1" s="1"/>
  <c r="G48" i="1"/>
  <c r="Y44" i="1"/>
  <c r="Y60" i="1" s="1"/>
  <c r="Q44" i="1"/>
  <c r="Q60" i="1" s="1"/>
  <c r="I44" i="1"/>
  <c r="I60" i="1" s="1"/>
  <c r="W44" i="1"/>
  <c r="W60" i="1" s="1"/>
  <c r="L44" i="1"/>
  <c r="L60" i="1" s="1"/>
  <c r="AA44" i="1"/>
  <c r="AA60" i="1" s="1"/>
  <c r="X44" i="1"/>
  <c r="X60" i="1" s="1"/>
  <c r="P44" i="1"/>
  <c r="P60" i="1" s="1"/>
  <c r="H44" i="1"/>
  <c r="H60" i="1" s="1"/>
  <c r="G44" i="1"/>
  <c r="G60" i="1" s="1"/>
  <c r="T44" i="1"/>
  <c r="T60" i="1" s="1"/>
  <c r="O44" i="1"/>
  <c r="O60" i="1" s="1"/>
  <c r="V44" i="1"/>
  <c r="V60" i="1" s="1"/>
  <c r="N44" i="1"/>
  <c r="N60" i="1" s="1"/>
  <c r="F44" i="1"/>
  <c r="F60" i="1" s="1"/>
  <c r="D44" i="1"/>
  <c r="U44" i="1"/>
  <c r="U60" i="1" s="1"/>
  <c r="M44" i="1"/>
  <c r="M60" i="1" s="1"/>
  <c r="E44" i="1"/>
  <c r="AB44" i="1"/>
  <c r="AB60" i="1" s="1"/>
  <c r="K44" i="1"/>
  <c r="K60" i="1" s="1"/>
  <c r="Z44" i="1"/>
  <c r="Z60" i="1" s="1"/>
  <c r="R44" i="1"/>
  <c r="R60" i="1" s="1"/>
  <c r="J44" i="1"/>
  <c r="J60" i="1" s="1"/>
  <c r="S44" i="1"/>
  <c r="S60" i="1" s="1"/>
  <c r="X85" i="1"/>
  <c r="V85" i="1"/>
  <c r="AA85" i="1"/>
  <c r="S85" i="1"/>
  <c r="Z85" i="1"/>
  <c r="AA50" i="1"/>
  <c r="AA66" i="1" s="1"/>
  <c r="S50" i="1"/>
  <c r="S66" i="1" s="1"/>
  <c r="K50" i="1"/>
  <c r="K66" i="1" s="1"/>
  <c r="Z50" i="1"/>
  <c r="Z66" i="1" s="1"/>
  <c r="R50" i="1"/>
  <c r="R66" i="1" s="1"/>
  <c r="J50" i="1"/>
  <c r="J66" i="1" s="1"/>
  <c r="V50" i="1"/>
  <c r="V66" i="1" s="1"/>
  <c r="Y50" i="1"/>
  <c r="Y66" i="1" s="1"/>
  <c r="Q50" i="1"/>
  <c r="Q66" i="1" s="1"/>
  <c r="I50" i="1"/>
  <c r="I66" i="1" s="1"/>
  <c r="F50" i="1"/>
  <c r="F66" i="1" s="1"/>
  <c r="E50" i="1"/>
  <c r="X50" i="1"/>
  <c r="X66" i="1" s="1"/>
  <c r="P50" i="1"/>
  <c r="P66" i="1" s="1"/>
  <c r="H50" i="1"/>
  <c r="H66" i="1" s="1"/>
  <c r="U50" i="1"/>
  <c r="U66" i="1" s="1"/>
  <c r="W50" i="1"/>
  <c r="W66" i="1" s="1"/>
  <c r="O50" i="1"/>
  <c r="O66" i="1" s="1"/>
  <c r="G50" i="1"/>
  <c r="G66" i="1" s="1"/>
  <c r="N50" i="1"/>
  <c r="N66" i="1" s="1"/>
  <c r="M50" i="1"/>
  <c r="M66" i="1" s="1"/>
  <c r="AB50" i="1"/>
  <c r="AB66" i="1" s="1"/>
  <c r="T50" i="1"/>
  <c r="T66" i="1" s="1"/>
  <c r="L50" i="1"/>
  <c r="L66" i="1" s="1"/>
  <c r="D50" i="1"/>
  <c r="W54" i="1"/>
  <c r="W70" i="1" s="1"/>
  <c r="O54" i="1"/>
  <c r="O70" i="1" s="1"/>
  <c r="G54" i="1"/>
  <c r="G70" i="1" s="1"/>
  <c r="R54" i="1"/>
  <c r="R70" i="1" s="1"/>
  <c r="Q54" i="1"/>
  <c r="Q70" i="1" s="1"/>
  <c r="V54" i="1"/>
  <c r="V70" i="1" s="1"/>
  <c r="N54" i="1"/>
  <c r="N70" i="1" s="1"/>
  <c r="F54" i="1"/>
  <c r="F70" i="1" s="1"/>
  <c r="U54" i="1"/>
  <c r="U70" i="1" s="1"/>
  <c r="M54" i="1"/>
  <c r="M70" i="1" s="1"/>
  <c r="E54" i="1"/>
  <c r="E70" i="1" s="1"/>
  <c r="I54" i="1"/>
  <c r="I70" i="1" s="1"/>
  <c r="AB54" i="1"/>
  <c r="AB70" i="1" s="1"/>
  <c r="T54" i="1"/>
  <c r="T70" i="1" s="1"/>
  <c r="L54" i="1"/>
  <c r="L70" i="1" s="1"/>
  <c r="D54" i="1"/>
  <c r="Z54" i="1"/>
  <c r="Z70" i="1" s="1"/>
  <c r="Y54" i="1"/>
  <c r="Y70" i="1" s="1"/>
  <c r="AA54" i="1"/>
  <c r="AA70" i="1" s="1"/>
  <c r="S54" i="1"/>
  <c r="S70" i="1" s="1"/>
  <c r="K54" i="1"/>
  <c r="K70" i="1" s="1"/>
  <c r="J54" i="1"/>
  <c r="J70" i="1" s="1"/>
  <c r="X54" i="1"/>
  <c r="X70" i="1" s="1"/>
  <c r="P54" i="1"/>
  <c r="P70" i="1" s="1"/>
  <c r="H54" i="1"/>
  <c r="H70" i="1" s="1"/>
  <c r="X53" i="1"/>
  <c r="X69" i="1" s="1"/>
  <c r="P53" i="1"/>
  <c r="P69" i="1" s="1"/>
  <c r="H53" i="1"/>
  <c r="H69" i="1" s="1"/>
  <c r="W53" i="1"/>
  <c r="W69" i="1" s="1"/>
  <c r="O53" i="1"/>
  <c r="O69" i="1" s="1"/>
  <c r="G53" i="1"/>
  <c r="G69" i="1" s="1"/>
  <c r="J53" i="1"/>
  <c r="J69" i="1" s="1"/>
  <c r="V53" i="1"/>
  <c r="V69" i="1" s="1"/>
  <c r="N53" i="1"/>
  <c r="N69" i="1" s="1"/>
  <c r="F53" i="1"/>
  <c r="F69" i="1" s="1"/>
  <c r="U53" i="1"/>
  <c r="U69" i="1" s="1"/>
  <c r="M53" i="1"/>
  <c r="M69" i="1" s="1"/>
  <c r="E53" i="1"/>
  <c r="AA53" i="1"/>
  <c r="AA69" i="1" s="1"/>
  <c r="AB53" i="1"/>
  <c r="AB69" i="1" s="1"/>
  <c r="T53" i="1"/>
  <c r="T69" i="1" s="1"/>
  <c r="L53" i="1"/>
  <c r="L69" i="1" s="1"/>
  <c r="D53" i="1"/>
  <c r="K53" i="1"/>
  <c r="K69" i="1" s="1"/>
  <c r="Z53" i="1"/>
  <c r="Z69" i="1" s="1"/>
  <c r="Y53" i="1"/>
  <c r="Y69" i="1" s="1"/>
  <c r="Q53" i="1"/>
  <c r="Q69" i="1" s="1"/>
  <c r="I53" i="1"/>
  <c r="I69" i="1" s="1"/>
  <c r="S53" i="1"/>
  <c r="S69" i="1" s="1"/>
  <c r="R53" i="1"/>
  <c r="R69" i="1" s="1"/>
  <c r="T91" i="1"/>
  <c r="T41" i="1" s="1"/>
  <c r="T109" i="1" s="1"/>
  <c r="R91" i="1"/>
  <c r="R41" i="1" s="1"/>
  <c r="R109" i="1" s="1"/>
  <c r="Y91" i="1"/>
  <c r="Y41" i="1" s="1"/>
  <c r="Y109" i="1" s="1"/>
  <c r="Q91" i="1"/>
  <c r="Q41" i="1" s="1"/>
  <c r="Q109" i="1" s="1"/>
  <c r="W91" i="1"/>
  <c r="W41" i="1" s="1"/>
  <c r="W109" i="1" s="1"/>
  <c r="AB91" i="1"/>
  <c r="AB41" i="1" s="1"/>
  <c r="AB109" i="1" s="1"/>
  <c r="D91" i="1"/>
  <c r="D41" i="1" s="1"/>
  <c r="D109" i="1" s="1"/>
  <c r="V91" i="1"/>
  <c r="V41" i="1" s="1"/>
  <c r="V109" i="1" s="1"/>
  <c r="AA90" i="1"/>
  <c r="AA40" i="1" s="1"/>
  <c r="AA108" i="1" s="1"/>
  <c r="S90" i="1"/>
  <c r="S40" i="1" s="1"/>
  <c r="S108" i="1" s="1"/>
  <c r="K90" i="1"/>
  <c r="K40" i="1" s="1"/>
  <c r="K108" i="1" s="1"/>
  <c r="X90" i="1"/>
  <c r="X40" i="1" s="1"/>
  <c r="X108" i="1" s="1"/>
  <c r="R90" i="1"/>
  <c r="R40" i="1" s="1"/>
  <c r="R108" i="1" s="1"/>
  <c r="P90" i="1"/>
  <c r="P40" i="1" s="1"/>
  <c r="P108" i="1" s="1"/>
  <c r="H90" i="1"/>
  <c r="H40" i="1" s="1"/>
  <c r="H108" i="1" s="1"/>
  <c r="I90" i="1"/>
  <c r="I40" i="1" s="1"/>
  <c r="I108" i="1" s="1"/>
  <c r="N90" i="1"/>
  <c r="N40" i="1" s="1"/>
  <c r="N108" i="1" s="1"/>
  <c r="F90" i="1"/>
  <c r="F40" i="1" s="1"/>
  <c r="F108" i="1" s="1"/>
  <c r="U90" i="1"/>
  <c r="U40" i="1" s="1"/>
  <c r="U108" i="1" s="1"/>
  <c r="M90" i="1"/>
  <c r="M40" i="1" s="1"/>
  <c r="M108" i="1" s="1"/>
  <c r="E90" i="1"/>
  <c r="E40" i="1" s="1"/>
  <c r="E108" i="1" s="1"/>
  <c r="W46" i="1"/>
  <c r="W62" i="1" s="1"/>
  <c r="O46" i="1"/>
  <c r="O62" i="1" s="1"/>
  <c r="G46" i="1"/>
  <c r="G62" i="1" s="1"/>
  <c r="Y46" i="1"/>
  <c r="Y62" i="1" s="1"/>
  <c r="V46" i="1"/>
  <c r="V62" i="1" s="1"/>
  <c r="N46" i="1"/>
  <c r="N62" i="1" s="1"/>
  <c r="F46" i="1"/>
  <c r="F62" i="1" s="1"/>
  <c r="R46" i="1"/>
  <c r="R62" i="1" s="1"/>
  <c r="U46" i="1"/>
  <c r="U62" i="1" s="1"/>
  <c r="M46" i="1"/>
  <c r="M62" i="1" s="1"/>
  <c r="E46" i="1"/>
  <c r="AB46" i="1"/>
  <c r="AB62" i="1" s="1"/>
  <c r="T46" i="1"/>
  <c r="T62" i="1" s="1"/>
  <c r="L46" i="1"/>
  <c r="L62" i="1" s="1"/>
  <c r="D46" i="1"/>
  <c r="J46" i="1"/>
  <c r="J62" i="1" s="1"/>
  <c r="AA46" i="1"/>
  <c r="AA62" i="1" s="1"/>
  <c r="S46" i="1"/>
  <c r="S62" i="1" s="1"/>
  <c r="K46" i="1"/>
  <c r="K62" i="1" s="1"/>
  <c r="Z46" i="1"/>
  <c r="Z62" i="1" s="1"/>
  <c r="I46" i="1"/>
  <c r="I62" i="1" s="1"/>
  <c r="X46" i="1"/>
  <c r="X62" i="1" s="1"/>
  <c r="P46" i="1"/>
  <c r="P62" i="1" s="1"/>
  <c r="H46" i="1"/>
  <c r="H62" i="1" s="1"/>
  <c r="Q46" i="1"/>
  <c r="Q62" i="1" s="1"/>
  <c r="E84" i="1"/>
  <c r="E34" i="1" s="1"/>
  <c r="E102" i="1" s="1"/>
  <c r="V47" i="1"/>
  <c r="V63" i="1" s="1"/>
  <c r="N47" i="1"/>
  <c r="N63" i="1" s="1"/>
  <c r="F47" i="1"/>
  <c r="F63" i="1" s="1"/>
  <c r="Y47" i="1"/>
  <c r="Y63" i="1" s="1"/>
  <c r="U47" i="1"/>
  <c r="U63" i="1" s="1"/>
  <c r="M47" i="1"/>
  <c r="M63" i="1" s="1"/>
  <c r="E47" i="1"/>
  <c r="P47" i="1"/>
  <c r="P63" i="1" s="1"/>
  <c r="AB47" i="1"/>
  <c r="AB63" i="1" s="1"/>
  <c r="T47" i="1"/>
  <c r="T63" i="1" s="1"/>
  <c r="L47" i="1"/>
  <c r="L63" i="1" s="1"/>
  <c r="D47" i="1"/>
  <c r="Q47" i="1"/>
  <c r="Q63" i="1" s="1"/>
  <c r="X47" i="1"/>
  <c r="X63" i="1" s="1"/>
  <c r="AA47" i="1"/>
  <c r="AA63" i="1" s="1"/>
  <c r="S47" i="1"/>
  <c r="S63" i="1" s="1"/>
  <c r="K47" i="1"/>
  <c r="K63" i="1" s="1"/>
  <c r="H47" i="1"/>
  <c r="H63" i="1" s="1"/>
  <c r="Z47" i="1"/>
  <c r="Z63" i="1" s="1"/>
  <c r="R47" i="1"/>
  <c r="R63" i="1" s="1"/>
  <c r="J47" i="1"/>
  <c r="J63" i="1" s="1"/>
  <c r="W47" i="1"/>
  <c r="W63" i="1" s="1"/>
  <c r="O47" i="1"/>
  <c r="O63" i="1" s="1"/>
  <c r="G47" i="1"/>
  <c r="G63" i="1" s="1"/>
  <c r="I47" i="1"/>
  <c r="I63" i="1" s="1"/>
  <c r="E80" i="1"/>
  <c r="E30" i="1" s="1"/>
  <c r="E98" i="1" s="1"/>
  <c r="Z43" i="1"/>
  <c r="Z59" i="1" s="1"/>
  <c r="R43" i="1"/>
  <c r="R59" i="1" s="1"/>
  <c r="J43" i="1"/>
  <c r="J59" i="1" s="1"/>
  <c r="X43" i="1"/>
  <c r="X59" i="1" s="1"/>
  <c r="T43" i="1"/>
  <c r="T59" i="1" s="1"/>
  <c r="Y43" i="1"/>
  <c r="Y59" i="1" s="1"/>
  <c r="Q43" i="1"/>
  <c r="Q59" i="1" s="1"/>
  <c r="I43" i="1"/>
  <c r="I59" i="1" s="1"/>
  <c r="H43" i="1"/>
  <c r="H59" i="1" s="1"/>
  <c r="L43" i="1"/>
  <c r="L59" i="1" s="1"/>
  <c r="P43" i="1"/>
  <c r="P59" i="1" s="1"/>
  <c r="E43" i="1"/>
  <c r="AB43" i="1"/>
  <c r="AB59" i="1" s="1"/>
  <c r="W43" i="1"/>
  <c r="W59" i="1" s="1"/>
  <c r="O43" i="1"/>
  <c r="O59" i="1" s="1"/>
  <c r="G43" i="1"/>
  <c r="G59" i="1" s="1"/>
  <c r="V43" i="1"/>
  <c r="V59" i="1" s="1"/>
  <c r="N43" i="1"/>
  <c r="N59" i="1" s="1"/>
  <c r="F43" i="1"/>
  <c r="F59" i="1" s="1"/>
  <c r="M43" i="1"/>
  <c r="M59" i="1" s="1"/>
  <c r="AA43" i="1"/>
  <c r="AA59" i="1" s="1"/>
  <c r="S43" i="1"/>
  <c r="S59" i="1" s="1"/>
  <c r="K43" i="1"/>
  <c r="K59" i="1" s="1"/>
  <c r="U43" i="1"/>
  <c r="U59" i="1" s="1"/>
  <c r="X45" i="1"/>
  <c r="X61" i="1" s="1"/>
  <c r="P45" i="1"/>
  <c r="P61" i="1" s="1"/>
  <c r="H45" i="1"/>
  <c r="H61" i="1" s="1"/>
  <c r="AA45" i="1"/>
  <c r="AA61" i="1" s="1"/>
  <c r="W45" i="1"/>
  <c r="W61" i="1" s="1"/>
  <c r="O45" i="1"/>
  <c r="O61" i="1" s="1"/>
  <c r="G45" i="1"/>
  <c r="G61" i="1" s="1"/>
  <c r="F45" i="1"/>
  <c r="F61" i="1" s="1"/>
  <c r="R45" i="1"/>
  <c r="R61" i="1" s="1"/>
  <c r="V45" i="1"/>
  <c r="V61" i="1" s="1"/>
  <c r="N45" i="1"/>
  <c r="N61" i="1" s="1"/>
  <c r="K45" i="1"/>
  <c r="K61" i="1" s="1"/>
  <c r="Z45" i="1"/>
  <c r="Z61" i="1" s="1"/>
  <c r="U45" i="1"/>
  <c r="U61" i="1" s="1"/>
  <c r="M45" i="1"/>
  <c r="M61" i="1" s="1"/>
  <c r="E45" i="1"/>
  <c r="J45" i="1"/>
  <c r="J61" i="1" s="1"/>
  <c r="AB45" i="1"/>
  <c r="AB61" i="1" s="1"/>
  <c r="T45" i="1"/>
  <c r="T61" i="1" s="1"/>
  <c r="L45" i="1"/>
  <c r="L61" i="1" s="1"/>
  <c r="D45" i="1"/>
  <c r="Y45" i="1"/>
  <c r="Y61" i="1" s="1"/>
  <c r="Q45" i="1"/>
  <c r="Q61" i="1" s="1"/>
  <c r="I45" i="1"/>
  <c r="I61" i="1" s="1"/>
  <c r="S45" i="1"/>
  <c r="S61" i="1" s="1"/>
  <c r="Z90" i="1"/>
  <c r="Z40" i="1" s="1"/>
  <c r="Z108" i="1" s="1"/>
  <c r="D85" i="1"/>
  <c r="AG27" i="3"/>
  <c r="AG28" i="3" s="1"/>
  <c r="AG29" i="3" s="1"/>
  <c r="AF27" i="3"/>
  <c r="AF28" i="3" s="1"/>
  <c r="AF29" i="3" s="1"/>
  <c r="AE27" i="3"/>
  <c r="AE28" i="3" s="1"/>
  <c r="AE29" i="3" s="1"/>
  <c r="AD27" i="3"/>
  <c r="AD28" i="3" s="1"/>
  <c r="AD29" i="3" s="1"/>
  <c r="AC27" i="3"/>
  <c r="AC28" i="3" s="1"/>
  <c r="AC29" i="3" s="1"/>
  <c r="AB27" i="3"/>
  <c r="AB28" i="3" s="1"/>
  <c r="AB29" i="3" s="1"/>
  <c r="AA27" i="3"/>
  <c r="AA28" i="3" s="1"/>
  <c r="AA29" i="3" s="1"/>
  <c r="Z27" i="3"/>
  <c r="Z28" i="3" s="1"/>
  <c r="Z29" i="3" s="1"/>
  <c r="Y27" i="3"/>
  <c r="Y28" i="3" s="1"/>
  <c r="Y29" i="3" s="1"/>
  <c r="X27" i="3"/>
  <c r="X28" i="3" s="1"/>
  <c r="X29" i="3" s="1"/>
  <c r="W27" i="3"/>
  <c r="W28" i="3" s="1"/>
  <c r="W29" i="3" s="1"/>
  <c r="V27" i="3"/>
  <c r="V28" i="3" s="1"/>
  <c r="V29" i="3" s="1"/>
  <c r="U27" i="3"/>
  <c r="U28" i="3" s="1"/>
  <c r="U29" i="3" s="1"/>
  <c r="T27" i="3"/>
  <c r="T28" i="3" s="1"/>
  <c r="T29" i="3" s="1"/>
  <c r="S27" i="3"/>
  <c r="S28" i="3" s="1"/>
  <c r="S29" i="3" s="1"/>
  <c r="R27" i="3"/>
  <c r="R28" i="3" s="1"/>
  <c r="R29" i="3" s="1"/>
  <c r="Q27" i="3"/>
  <c r="Q28" i="3" s="1"/>
  <c r="Q29" i="3" s="1"/>
  <c r="P27" i="3"/>
  <c r="P28" i="3" s="1"/>
  <c r="P29" i="3" s="1"/>
  <c r="O27" i="3"/>
  <c r="O28" i="3" s="1"/>
  <c r="O29" i="3" s="1"/>
  <c r="N27" i="3"/>
  <c r="N28" i="3" s="1"/>
  <c r="N29" i="3" s="1"/>
  <c r="M27" i="3"/>
  <c r="M28" i="3" s="1"/>
  <c r="M29" i="3" s="1"/>
  <c r="L27" i="3"/>
  <c r="L28" i="3" s="1"/>
  <c r="L29" i="3" s="1"/>
  <c r="K27" i="3"/>
  <c r="K28" i="3" s="1"/>
  <c r="K29" i="3" s="1"/>
  <c r="J27" i="3"/>
  <c r="J28" i="3" s="1"/>
  <c r="J29" i="3" s="1"/>
  <c r="I27" i="3"/>
  <c r="I28" i="3" s="1"/>
  <c r="I29" i="3" s="1"/>
  <c r="H27" i="3"/>
  <c r="H28" i="3" s="1"/>
  <c r="H29" i="3" s="1"/>
  <c r="G27" i="3"/>
  <c r="G28" i="3" s="1"/>
  <c r="G29" i="3" s="1"/>
  <c r="F27" i="3"/>
  <c r="F28" i="3" s="1"/>
  <c r="F29" i="3" s="1"/>
  <c r="E27" i="3"/>
  <c r="E28" i="3" s="1"/>
  <c r="E29" i="3" s="1"/>
  <c r="D27" i="3"/>
  <c r="D28" i="3" s="1"/>
  <c r="D29" i="3" s="1"/>
  <c r="C27" i="3"/>
  <c r="C28" i="3" s="1"/>
  <c r="C29" i="3" s="1"/>
  <c r="AG17" i="3"/>
  <c r="AG18" i="3" s="1"/>
  <c r="AG19" i="3" s="1"/>
  <c r="AF17" i="3"/>
  <c r="AF18" i="3" s="1"/>
  <c r="AF19" i="3" s="1"/>
  <c r="AE17" i="3"/>
  <c r="AE18" i="3" s="1"/>
  <c r="AE19" i="3" s="1"/>
  <c r="AD17" i="3"/>
  <c r="AD18" i="3" s="1"/>
  <c r="AD19" i="3" s="1"/>
  <c r="AC17" i="3"/>
  <c r="AC18" i="3" s="1"/>
  <c r="AC19" i="3" s="1"/>
  <c r="AB17" i="3"/>
  <c r="AB18" i="3" s="1"/>
  <c r="AB19" i="3" s="1"/>
  <c r="AA17" i="3"/>
  <c r="AA18" i="3" s="1"/>
  <c r="AA19" i="3" s="1"/>
  <c r="Z17" i="3"/>
  <c r="Z18" i="3" s="1"/>
  <c r="Z19" i="3" s="1"/>
  <c r="Y17" i="3"/>
  <c r="Y18" i="3" s="1"/>
  <c r="Y19" i="3" s="1"/>
  <c r="X17" i="3"/>
  <c r="X18" i="3" s="1"/>
  <c r="X19" i="3" s="1"/>
  <c r="W17" i="3"/>
  <c r="W18" i="3" s="1"/>
  <c r="W19" i="3" s="1"/>
  <c r="V17" i="3"/>
  <c r="V18" i="3" s="1"/>
  <c r="V19" i="3" s="1"/>
  <c r="U17" i="3"/>
  <c r="U18" i="3" s="1"/>
  <c r="U19" i="3" s="1"/>
  <c r="T17" i="3"/>
  <c r="T18" i="3" s="1"/>
  <c r="T19" i="3" s="1"/>
  <c r="S17" i="3"/>
  <c r="S18" i="3" s="1"/>
  <c r="S19" i="3" s="1"/>
  <c r="R17" i="3"/>
  <c r="R18" i="3" s="1"/>
  <c r="R19" i="3" s="1"/>
  <c r="Q17" i="3"/>
  <c r="Q18" i="3" s="1"/>
  <c r="Q19" i="3" s="1"/>
  <c r="Q22" i="3" s="1"/>
  <c r="P17" i="3"/>
  <c r="P18" i="3" s="1"/>
  <c r="P19" i="3" s="1"/>
  <c r="P22" i="3" s="1"/>
  <c r="O17" i="3"/>
  <c r="O18" i="3" s="1"/>
  <c r="O19" i="3" s="1"/>
  <c r="N17" i="3"/>
  <c r="N18" i="3" s="1"/>
  <c r="N19" i="3" s="1"/>
  <c r="M17" i="3"/>
  <c r="M18" i="3" s="1"/>
  <c r="M19" i="3" s="1"/>
  <c r="L17" i="3"/>
  <c r="L18" i="3" s="1"/>
  <c r="L19" i="3" s="1"/>
  <c r="K17" i="3"/>
  <c r="K18" i="3" s="1"/>
  <c r="K19" i="3" s="1"/>
  <c r="J17" i="3"/>
  <c r="J18" i="3" s="1"/>
  <c r="J19" i="3" s="1"/>
  <c r="I17" i="3"/>
  <c r="I18" i="3" s="1"/>
  <c r="I19" i="3" s="1"/>
  <c r="H17" i="3"/>
  <c r="H18" i="3" s="1"/>
  <c r="H19" i="3" s="1"/>
  <c r="G17" i="3"/>
  <c r="G18" i="3" s="1"/>
  <c r="G19" i="3" s="1"/>
  <c r="F17" i="3"/>
  <c r="F18" i="3" s="1"/>
  <c r="F19" i="3" s="1"/>
  <c r="E17" i="3"/>
  <c r="E18" i="3" s="1"/>
  <c r="E19" i="3" s="1"/>
  <c r="D17" i="3"/>
  <c r="D18" i="3" s="1"/>
  <c r="D19" i="3" s="1"/>
  <c r="D20" i="3" s="1"/>
  <c r="C17" i="3"/>
  <c r="C18" i="3" s="1"/>
  <c r="C19" i="3" s="1"/>
  <c r="D43" i="1"/>
  <c r="U85" i="1"/>
  <c r="R82" i="1" l="1"/>
  <c r="R32" i="1" s="1"/>
  <c r="R100" i="1" s="1"/>
  <c r="T82" i="1"/>
  <c r="T32" i="1" s="1"/>
  <c r="T100" i="1" s="1"/>
  <c r="H82" i="1"/>
  <c r="H32" i="1" s="1"/>
  <c r="H100" i="1" s="1"/>
  <c r="S82" i="1"/>
  <c r="S32" i="1" s="1"/>
  <c r="S100" i="1" s="1"/>
  <c r="M82" i="1"/>
  <c r="M32" i="1" s="1"/>
  <c r="M100" i="1" s="1"/>
  <c r="AA82" i="1"/>
  <c r="AA32" i="1" s="1"/>
  <c r="AA100" i="1" s="1"/>
  <c r="Q64" i="1"/>
  <c r="Q82" i="1" s="1"/>
  <c r="Q32" i="1" s="1"/>
  <c r="Q100" i="1" s="1"/>
  <c r="G64" i="1"/>
  <c r="G82" i="1" s="1"/>
  <c r="G32" i="1" s="1"/>
  <c r="G100" i="1" s="1"/>
  <c r="Y64" i="1"/>
  <c r="Y82" i="1" s="1"/>
  <c r="Y32" i="1" s="1"/>
  <c r="Y100" i="1" s="1"/>
  <c r="U84" i="1"/>
  <c r="U34" i="1" s="1"/>
  <c r="U102" i="1" s="1"/>
  <c r="X88" i="1"/>
  <c r="X38" i="1" s="1"/>
  <c r="X106" i="1" s="1"/>
  <c r="V84" i="1"/>
  <c r="V34" i="1" s="1"/>
  <c r="V102" i="1" s="1"/>
  <c r="AA80" i="1"/>
  <c r="AA30" i="1" s="1"/>
  <c r="AA98" i="1" s="1"/>
  <c r="I80" i="1"/>
  <c r="I30" i="1" s="1"/>
  <c r="I98" i="1" s="1"/>
  <c r="K79" i="1"/>
  <c r="K29" i="1" s="1"/>
  <c r="K97" i="1" s="1"/>
  <c r="I82" i="1"/>
  <c r="I32" i="1" s="1"/>
  <c r="I100" i="1" s="1"/>
  <c r="W83" i="1"/>
  <c r="W33" i="1" s="1"/>
  <c r="W101" i="1" s="1"/>
  <c r="AA78" i="1"/>
  <c r="AA28" i="1" s="1"/>
  <c r="AA96" i="1" s="1"/>
  <c r="X87" i="1"/>
  <c r="X37" i="1" s="1"/>
  <c r="X105" i="1" s="1"/>
  <c r="AB83" i="1"/>
  <c r="AB33" i="1" s="1"/>
  <c r="AB101" i="1" s="1"/>
  <c r="R88" i="1"/>
  <c r="R38" i="1" s="1"/>
  <c r="R106" i="1" s="1"/>
  <c r="G88" i="1"/>
  <c r="G38" i="1" s="1"/>
  <c r="G106" i="1" s="1"/>
  <c r="Y78" i="1"/>
  <c r="Y28" i="1" s="1"/>
  <c r="Y96" i="1" s="1"/>
  <c r="Z81" i="1"/>
  <c r="Z31" i="1" s="1"/>
  <c r="Z99" i="1" s="1"/>
  <c r="Y84" i="1"/>
  <c r="Y34" i="1" s="1"/>
  <c r="Y102" i="1" s="1"/>
  <c r="G84" i="1"/>
  <c r="G34" i="1" s="1"/>
  <c r="G102" i="1" s="1"/>
  <c r="M80" i="1"/>
  <c r="M30" i="1" s="1"/>
  <c r="M98" i="1" s="1"/>
  <c r="W80" i="1"/>
  <c r="W30" i="1" s="1"/>
  <c r="W98" i="1" s="1"/>
  <c r="K81" i="1"/>
  <c r="K31" i="1" s="1"/>
  <c r="K99" i="1" s="1"/>
  <c r="AB87" i="1"/>
  <c r="AB37" i="1" s="1"/>
  <c r="AB105" i="1" s="1"/>
  <c r="V82" i="1"/>
  <c r="V32" i="1" s="1"/>
  <c r="V100" i="1" s="1"/>
  <c r="O82" i="1"/>
  <c r="O32" i="1" s="1"/>
  <c r="O100" i="1" s="1"/>
  <c r="U83" i="1"/>
  <c r="U33" i="1" s="1"/>
  <c r="U101" i="1" s="1"/>
  <c r="O77" i="1"/>
  <c r="O27" i="1" s="1"/>
  <c r="O95" i="1" s="1"/>
  <c r="U80" i="1"/>
  <c r="U30" i="1" s="1"/>
  <c r="U98" i="1" s="1"/>
  <c r="L80" i="1"/>
  <c r="L30" i="1" s="1"/>
  <c r="L98" i="1" s="1"/>
  <c r="Z84" i="1"/>
  <c r="Z34" i="1" s="1"/>
  <c r="Z102" i="1" s="1"/>
  <c r="S80" i="1"/>
  <c r="S30" i="1" s="1"/>
  <c r="S98" i="1" s="1"/>
  <c r="L77" i="1"/>
  <c r="L27" i="1" s="1"/>
  <c r="L95" i="1" s="1"/>
  <c r="Y87" i="1"/>
  <c r="Y37" i="1" s="1"/>
  <c r="Y105" i="1" s="1"/>
  <c r="R80" i="1"/>
  <c r="R30" i="1" s="1"/>
  <c r="R98" i="1" s="1"/>
  <c r="Z87" i="1"/>
  <c r="Z37" i="1" s="1"/>
  <c r="Z105" i="1" s="1"/>
  <c r="I84" i="1"/>
  <c r="I34" i="1" s="1"/>
  <c r="I102" i="1" s="1"/>
  <c r="W84" i="1"/>
  <c r="W34" i="1" s="1"/>
  <c r="W102" i="1" s="1"/>
  <c r="AB88" i="1"/>
  <c r="AB38" i="1" s="1"/>
  <c r="AB106" i="1" s="1"/>
  <c r="AB81" i="1"/>
  <c r="AB31" i="1" s="1"/>
  <c r="AB99" i="1" s="1"/>
  <c r="R84" i="1"/>
  <c r="R34" i="1" s="1"/>
  <c r="R102" i="1" s="1"/>
  <c r="N84" i="1"/>
  <c r="N34" i="1" s="1"/>
  <c r="N102" i="1" s="1"/>
  <c r="AB84" i="1"/>
  <c r="AB34" i="1" s="1"/>
  <c r="AB102" i="1" s="1"/>
  <c r="T80" i="1"/>
  <c r="T30" i="1" s="1"/>
  <c r="T98" i="1" s="1"/>
  <c r="Q80" i="1"/>
  <c r="Q30" i="1" s="1"/>
  <c r="Q98" i="1" s="1"/>
  <c r="Y79" i="1"/>
  <c r="Y29" i="1" s="1"/>
  <c r="Y97" i="1" s="1"/>
  <c r="V81" i="1"/>
  <c r="V31" i="1" s="1"/>
  <c r="V99" i="1" s="1"/>
  <c r="I81" i="1"/>
  <c r="I31" i="1" s="1"/>
  <c r="I99" i="1" s="1"/>
  <c r="S87" i="1"/>
  <c r="S37" i="1" s="1"/>
  <c r="S105" i="1" s="1"/>
  <c r="U82" i="1"/>
  <c r="U32" i="1" s="1"/>
  <c r="U100" i="1" s="1"/>
  <c r="AA88" i="1"/>
  <c r="AA38" i="1" s="1"/>
  <c r="AA106" i="1" s="1"/>
  <c r="O80" i="1"/>
  <c r="O30" i="1" s="1"/>
  <c r="O98" i="1" s="1"/>
  <c r="J80" i="1"/>
  <c r="J30" i="1" s="1"/>
  <c r="J98" i="1" s="1"/>
  <c r="X80" i="1"/>
  <c r="X30" i="1" s="1"/>
  <c r="X98" i="1" s="1"/>
  <c r="M84" i="1"/>
  <c r="M34" i="1" s="1"/>
  <c r="M102" i="1" s="1"/>
  <c r="J88" i="1"/>
  <c r="J38" i="1" s="1"/>
  <c r="J106" i="1" s="1"/>
  <c r="S84" i="1"/>
  <c r="S34" i="1" s="1"/>
  <c r="S102" i="1" s="1"/>
  <c r="H84" i="1"/>
  <c r="H34" i="1" s="1"/>
  <c r="H102" i="1" s="1"/>
  <c r="AA84" i="1"/>
  <c r="AA34" i="1" s="1"/>
  <c r="AA102" i="1" s="1"/>
  <c r="Z80" i="1"/>
  <c r="Z30" i="1" s="1"/>
  <c r="Z98" i="1" s="1"/>
  <c r="P80" i="1"/>
  <c r="P30" i="1" s="1"/>
  <c r="P98" i="1" s="1"/>
  <c r="N82" i="1"/>
  <c r="N32" i="1" s="1"/>
  <c r="N100" i="1" s="1"/>
  <c r="W82" i="1"/>
  <c r="W32" i="1" s="1"/>
  <c r="W100" i="1" s="1"/>
  <c r="W79" i="1"/>
  <c r="W29" i="1" s="1"/>
  <c r="W97" i="1" s="1"/>
  <c r="F82" i="1"/>
  <c r="F32" i="1" s="1"/>
  <c r="F100" i="1" s="1"/>
  <c r="Y80" i="1"/>
  <c r="Y30" i="1" s="1"/>
  <c r="Y98" i="1" s="1"/>
  <c r="V80" i="1"/>
  <c r="V30" i="1" s="1"/>
  <c r="V98" i="1" s="1"/>
  <c r="S78" i="1"/>
  <c r="S28" i="1" s="1"/>
  <c r="S96" i="1" s="1"/>
  <c r="Q84" i="1"/>
  <c r="Q34" i="1" s="1"/>
  <c r="Q102" i="1" s="1"/>
  <c r="J84" i="1"/>
  <c r="J34" i="1" s="1"/>
  <c r="J102" i="1" s="1"/>
  <c r="P84" i="1"/>
  <c r="P34" i="1" s="1"/>
  <c r="P102" i="1" s="1"/>
  <c r="S88" i="1"/>
  <c r="S38" i="1" s="1"/>
  <c r="S106" i="1" s="1"/>
  <c r="O84" i="1"/>
  <c r="O34" i="1" s="1"/>
  <c r="O102" i="1" s="1"/>
  <c r="K84" i="1"/>
  <c r="K34" i="1" s="1"/>
  <c r="K102" i="1" s="1"/>
  <c r="H80" i="1"/>
  <c r="H30" i="1" s="1"/>
  <c r="H98" i="1" s="1"/>
  <c r="AB80" i="1"/>
  <c r="AB30" i="1" s="1"/>
  <c r="AB98" i="1" s="1"/>
  <c r="N80" i="1"/>
  <c r="N30" i="1" s="1"/>
  <c r="N98" i="1" s="1"/>
  <c r="J82" i="1"/>
  <c r="J32" i="1" s="1"/>
  <c r="J100" i="1" s="1"/>
  <c r="P82" i="1"/>
  <c r="P32" i="1" s="1"/>
  <c r="P100" i="1" s="1"/>
  <c r="Z82" i="1"/>
  <c r="Z32" i="1" s="1"/>
  <c r="Z100" i="1" s="1"/>
  <c r="P88" i="1"/>
  <c r="P38" i="1" s="1"/>
  <c r="P106" i="1" s="1"/>
  <c r="K77" i="1"/>
  <c r="K27" i="1" s="1"/>
  <c r="K95" i="1" s="1"/>
  <c r="F80" i="1"/>
  <c r="F30" i="1" s="1"/>
  <c r="F98" i="1" s="1"/>
  <c r="G80" i="1"/>
  <c r="G30" i="1" s="1"/>
  <c r="G98" i="1" s="1"/>
  <c r="K80" i="1"/>
  <c r="K30" i="1" s="1"/>
  <c r="K98" i="1" s="1"/>
  <c r="L84" i="1"/>
  <c r="L34" i="1" s="1"/>
  <c r="L102" i="1" s="1"/>
  <c r="F84" i="1"/>
  <c r="F34" i="1" s="1"/>
  <c r="F102" i="1" s="1"/>
  <c r="T84" i="1"/>
  <c r="T34" i="1" s="1"/>
  <c r="T102" i="1" s="1"/>
  <c r="X84" i="1"/>
  <c r="X34" i="1" s="1"/>
  <c r="X102" i="1" s="1"/>
  <c r="D79" i="1"/>
  <c r="D29" i="1" s="1"/>
  <c r="D97" i="1" s="1"/>
  <c r="D88" i="1"/>
  <c r="D38" i="1" s="1"/>
  <c r="D106" i="1" s="1"/>
  <c r="AA79" i="1"/>
  <c r="AA29" i="1" s="1"/>
  <c r="AA97" i="1" s="1"/>
  <c r="V83" i="1"/>
  <c r="V33" i="1" s="1"/>
  <c r="V101" i="1" s="1"/>
  <c r="Z79" i="1"/>
  <c r="Z29" i="1" s="1"/>
  <c r="Z97" i="1" s="1"/>
  <c r="T87" i="1"/>
  <c r="T37" i="1" s="1"/>
  <c r="T105" i="1" s="1"/>
  <c r="I86" i="1"/>
  <c r="I36" i="1" s="1"/>
  <c r="I104" i="1" s="1"/>
  <c r="R87" i="1"/>
  <c r="R37" i="1" s="1"/>
  <c r="R105" i="1" s="1"/>
  <c r="S83" i="1"/>
  <c r="S33" i="1" s="1"/>
  <c r="S101" i="1" s="1"/>
  <c r="L88" i="1"/>
  <c r="L38" i="1" s="1"/>
  <c r="L106" i="1" s="1"/>
  <c r="AA86" i="1"/>
  <c r="AA36" i="1" s="1"/>
  <c r="AA104" i="1" s="1"/>
  <c r="Q86" i="1"/>
  <c r="Q36" i="1" s="1"/>
  <c r="Q104" i="1" s="1"/>
  <c r="Y88" i="1"/>
  <c r="Y38" i="1" s="1"/>
  <c r="Y106" i="1" s="1"/>
  <c r="O87" i="1"/>
  <c r="O37" i="1" s="1"/>
  <c r="O105" i="1" s="1"/>
  <c r="V87" i="1"/>
  <c r="V37" i="1" s="1"/>
  <c r="V105" i="1" s="1"/>
  <c r="F88" i="1"/>
  <c r="F38" i="1" s="1"/>
  <c r="F106" i="1" s="1"/>
  <c r="AA81" i="1"/>
  <c r="AA31" i="1" s="1"/>
  <c r="AA99" i="1" s="1"/>
  <c r="U86" i="1"/>
  <c r="U36" i="1" s="1"/>
  <c r="U104" i="1" s="1"/>
  <c r="K78" i="1"/>
  <c r="K28" i="1" s="1"/>
  <c r="K96" i="1" s="1"/>
  <c r="T88" i="1"/>
  <c r="T38" i="1" s="1"/>
  <c r="T106" i="1" s="1"/>
  <c r="W88" i="1"/>
  <c r="W38" i="1" s="1"/>
  <c r="W106" i="1" s="1"/>
  <c r="H86" i="1"/>
  <c r="H36" i="1" s="1"/>
  <c r="H104" i="1" s="1"/>
  <c r="V86" i="1"/>
  <c r="V36" i="1" s="1"/>
  <c r="V104" i="1" s="1"/>
  <c r="O88" i="1"/>
  <c r="O38" i="1" s="1"/>
  <c r="O106" i="1" s="1"/>
  <c r="S86" i="1"/>
  <c r="S36" i="1" s="1"/>
  <c r="S104" i="1" s="1"/>
  <c r="AA83" i="1"/>
  <c r="AA33" i="1" s="1"/>
  <c r="AA101" i="1" s="1"/>
  <c r="X79" i="1"/>
  <c r="X29" i="1" s="1"/>
  <c r="X97" i="1" s="1"/>
  <c r="H88" i="1"/>
  <c r="H38" i="1" s="1"/>
  <c r="H106" i="1" s="1"/>
  <c r="K87" i="1"/>
  <c r="K37" i="1" s="1"/>
  <c r="K105" i="1" s="1"/>
  <c r="X81" i="1"/>
  <c r="X31" i="1" s="1"/>
  <c r="X99" i="1" s="1"/>
  <c r="G86" i="1"/>
  <c r="G36" i="1" s="1"/>
  <c r="G104" i="1" s="1"/>
  <c r="AA77" i="1"/>
  <c r="AA27" i="1" s="1"/>
  <c r="AA95" i="1" s="1"/>
  <c r="Y83" i="1"/>
  <c r="Y33" i="1" s="1"/>
  <c r="Y101" i="1" s="1"/>
  <c r="Z83" i="1"/>
  <c r="Z33" i="1" s="1"/>
  <c r="Z101" i="1" s="1"/>
  <c r="Q88" i="1"/>
  <c r="Q38" i="1" s="1"/>
  <c r="Q106" i="1" s="1"/>
  <c r="F86" i="1"/>
  <c r="F36" i="1" s="1"/>
  <c r="F104" i="1" s="1"/>
  <c r="P86" i="1"/>
  <c r="P36" i="1" s="1"/>
  <c r="P104" i="1" s="1"/>
  <c r="K83" i="1"/>
  <c r="K33" i="1" s="1"/>
  <c r="K101" i="1" s="1"/>
  <c r="M79" i="1"/>
  <c r="M29" i="1" s="1"/>
  <c r="M97" i="1" s="1"/>
  <c r="Z88" i="1"/>
  <c r="Z38" i="1" s="1"/>
  <c r="Z106" i="1" s="1"/>
  <c r="U87" i="1"/>
  <c r="U37" i="1" s="1"/>
  <c r="U105" i="1" s="1"/>
  <c r="U81" i="1"/>
  <c r="U31" i="1" s="1"/>
  <c r="U99" i="1" s="1"/>
  <c r="J86" i="1"/>
  <c r="J36" i="1" s="1"/>
  <c r="J104" i="1" s="1"/>
  <c r="O86" i="1"/>
  <c r="O36" i="1" s="1"/>
  <c r="O104" i="1" s="1"/>
  <c r="N88" i="1"/>
  <c r="N38" i="1" s="1"/>
  <c r="N106" i="1" s="1"/>
  <c r="V88" i="1"/>
  <c r="V38" i="1" s="1"/>
  <c r="V106" i="1" s="1"/>
  <c r="X86" i="1"/>
  <c r="X36" i="1" s="1"/>
  <c r="X104" i="1" s="1"/>
  <c r="M86" i="1"/>
  <c r="M36" i="1" s="1"/>
  <c r="M104" i="1" s="1"/>
  <c r="K86" i="1"/>
  <c r="K36" i="1" s="1"/>
  <c r="K104" i="1" s="1"/>
  <c r="Z78" i="1"/>
  <c r="Z28" i="1" s="1"/>
  <c r="Z96" i="1" s="1"/>
  <c r="X83" i="1"/>
  <c r="X33" i="1" s="1"/>
  <c r="X101" i="1" s="1"/>
  <c r="K88" i="1"/>
  <c r="K38" i="1" s="1"/>
  <c r="K106" i="1" s="1"/>
  <c r="M88" i="1"/>
  <c r="M38" i="1" s="1"/>
  <c r="M106" i="1" s="1"/>
  <c r="AA87" i="1"/>
  <c r="AA37" i="1" s="1"/>
  <c r="AA105" i="1" s="1"/>
  <c r="R86" i="1"/>
  <c r="R36" i="1" s="1"/>
  <c r="R104" i="1" s="1"/>
  <c r="T86" i="1"/>
  <c r="T36" i="1" s="1"/>
  <c r="T104" i="1" s="1"/>
  <c r="AB77" i="1"/>
  <c r="AB27" i="1" s="1"/>
  <c r="AB95" i="1" s="1"/>
  <c r="E88" i="1"/>
  <c r="E38" i="1" s="1"/>
  <c r="E106" i="1" s="1"/>
  <c r="AB85" i="1"/>
  <c r="AB35" i="1" s="1"/>
  <c r="AB103" i="1" s="1"/>
  <c r="W86" i="1"/>
  <c r="W36" i="1" s="1"/>
  <c r="W104" i="1" s="1"/>
  <c r="E86" i="1"/>
  <c r="E36" i="1" s="1"/>
  <c r="E104" i="1" s="1"/>
  <c r="L86" i="1"/>
  <c r="L36" i="1" s="1"/>
  <c r="L104" i="1" s="1"/>
  <c r="AB78" i="1"/>
  <c r="AB28" i="1" s="1"/>
  <c r="AB96" i="1" s="1"/>
  <c r="I88" i="1"/>
  <c r="I38" i="1" s="1"/>
  <c r="I106" i="1" s="1"/>
  <c r="U88" i="1"/>
  <c r="U38" i="1" s="1"/>
  <c r="U106" i="1" s="1"/>
  <c r="W87" i="1"/>
  <c r="W37" i="1" s="1"/>
  <c r="W105" i="1" s="1"/>
  <c r="Y81" i="1"/>
  <c r="Y31" i="1" s="1"/>
  <c r="Y99" i="1" s="1"/>
  <c r="Z86" i="1"/>
  <c r="Z36" i="1" s="1"/>
  <c r="Z104" i="1" s="1"/>
  <c r="AB86" i="1"/>
  <c r="AB36" i="1" s="1"/>
  <c r="AB104" i="1" s="1"/>
  <c r="N86" i="1"/>
  <c r="N36" i="1" s="1"/>
  <c r="N104" i="1" s="1"/>
  <c r="U35" i="1"/>
  <c r="U103" i="1" s="1"/>
  <c r="T35" i="1"/>
  <c r="T103" i="1" s="1"/>
  <c r="X35" i="1"/>
  <c r="X103" i="1" s="1"/>
  <c r="V35" i="1"/>
  <c r="V103" i="1" s="1"/>
  <c r="W35" i="1"/>
  <c r="W103" i="1" s="1"/>
  <c r="D35" i="1"/>
  <c r="D103" i="1" s="1"/>
  <c r="Y35" i="1"/>
  <c r="Y103" i="1" s="1"/>
  <c r="Z35" i="1"/>
  <c r="Z103" i="1" s="1"/>
  <c r="S35" i="1"/>
  <c r="S103" i="1" s="1"/>
  <c r="AA35" i="1"/>
  <c r="AA103" i="1" s="1"/>
  <c r="D77" i="1"/>
  <c r="D27" i="1" s="1"/>
  <c r="D95" i="1" s="1"/>
  <c r="X89" i="1"/>
  <c r="X39" i="1" s="1"/>
  <c r="X107" i="1" s="1"/>
  <c r="T89" i="1"/>
  <c r="T39" i="1" s="1"/>
  <c r="T107" i="1" s="1"/>
  <c r="W89" i="1"/>
  <c r="W39" i="1" s="1"/>
  <c r="W107" i="1" s="1"/>
  <c r="V89" i="1"/>
  <c r="V39" i="1" s="1"/>
  <c r="V107" i="1" s="1"/>
  <c r="Y89" i="1"/>
  <c r="Y39" i="1" s="1"/>
  <c r="Y107" i="1" s="1"/>
  <c r="AB89" i="1"/>
  <c r="AB39" i="1" s="1"/>
  <c r="AB107" i="1" s="1"/>
  <c r="Z89" i="1"/>
  <c r="Z39" i="1" s="1"/>
  <c r="Z107" i="1" s="1"/>
  <c r="AA89" i="1"/>
  <c r="AA39" i="1" s="1"/>
  <c r="AA107" i="1" s="1"/>
  <c r="U89" i="1"/>
  <c r="U39" i="1" s="1"/>
  <c r="U107" i="1" s="1"/>
  <c r="Q89" i="1"/>
  <c r="Q39" i="1" s="1"/>
  <c r="Q107" i="1" s="1"/>
  <c r="R89" i="1"/>
  <c r="R39" i="1" s="1"/>
  <c r="R107" i="1" s="1"/>
  <c r="K89" i="1"/>
  <c r="K39" i="1" s="1"/>
  <c r="K107" i="1" s="1"/>
  <c r="S89" i="1"/>
  <c r="S39" i="1" s="1"/>
  <c r="S107" i="1" s="1"/>
  <c r="Q87" i="1"/>
  <c r="Q37" i="1" s="1"/>
  <c r="Q105" i="1" s="1"/>
  <c r="M91" i="1"/>
  <c r="M41" i="1" s="1"/>
  <c r="M109" i="1" s="1"/>
  <c r="N91" i="1"/>
  <c r="N41" i="1" s="1"/>
  <c r="N109" i="1" s="1"/>
  <c r="O91" i="1"/>
  <c r="O41" i="1" s="1"/>
  <c r="O109" i="1" s="1"/>
  <c r="O89" i="1"/>
  <c r="O39" i="1" s="1"/>
  <c r="O107" i="1" s="1"/>
  <c r="P89" i="1"/>
  <c r="P39" i="1" s="1"/>
  <c r="P107" i="1" s="1"/>
  <c r="L91" i="1"/>
  <c r="L41" i="1" s="1"/>
  <c r="L109" i="1" s="1"/>
  <c r="G91" i="1"/>
  <c r="G41" i="1" s="1"/>
  <c r="G109" i="1" s="1"/>
  <c r="O81" i="1"/>
  <c r="O31" i="1" s="1"/>
  <c r="O99" i="1" s="1"/>
  <c r="K85" i="1"/>
  <c r="N78" i="1"/>
  <c r="N28" i="1" s="1"/>
  <c r="N96" i="1" s="1"/>
  <c r="T83" i="1"/>
  <c r="T33" i="1" s="1"/>
  <c r="T101" i="1" s="1"/>
  <c r="N85" i="1"/>
  <c r="F89" i="1"/>
  <c r="F39" i="1" s="1"/>
  <c r="F107" i="1" s="1"/>
  <c r="G81" i="1"/>
  <c r="G31" i="1" s="1"/>
  <c r="G99" i="1" s="1"/>
  <c r="Q83" i="1"/>
  <c r="Q33" i="1" s="1"/>
  <c r="Q101" i="1" s="1"/>
  <c r="E78" i="1"/>
  <c r="E28" i="1" s="1"/>
  <c r="E96" i="1" s="1"/>
  <c r="I78" i="1"/>
  <c r="I28" i="1" s="1"/>
  <c r="I96" i="1" s="1"/>
  <c r="Q78" i="1"/>
  <c r="Q28" i="1" s="1"/>
  <c r="Q96" i="1" s="1"/>
  <c r="U78" i="1"/>
  <c r="U28" i="1" s="1"/>
  <c r="U96" i="1" s="1"/>
  <c r="G83" i="1"/>
  <c r="G33" i="1" s="1"/>
  <c r="G101" i="1" s="1"/>
  <c r="L79" i="1"/>
  <c r="L29" i="1" s="1"/>
  <c r="L97" i="1" s="1"/>
  <c r="P79" i="1"/>
  <c r="P29" i="1" s="1"/>
  <c r="P97" i="1" s="1"/>
  <c r="L83" i="1"/>
  <c r="L33" i="1" s="1"/>
  <c r="L101" i="1" s="1"/>
  <c r="S81" i="1"/>
  <c r="S31" i="1" s="1"/>
  <c r="S99" i="1" s="1"/>
  <c r="E87" i="1"/>
  <c r="E37" i="1" s="1"/>
  <c r="E105" i="1" s="1"/>
  <c r="J77" i="1"/>
  <c r="J27" i="1" s="1"/>
  <c r="J95" i="1" s="1"/>
  <c r="N77" i="1"/>
  <c r="N27" i="1" s="1"/>
  <c r="N95" i="1" s="1"/>
  <c r="R77" i="1"/>
  <c r="R27" i="1" s="1"/>
  <c r="R95" i="1" s="1"/>
  <c r="V77" i="1"/>
  <c r="V27" i="1" s="1"/>
  <c r="V95" i="1" s="1"/>
  <c r="H85" i="1"/>
  <c r="J87" i="1"/>
  <c r="J37" i="1" s="1"/>
  <c r="J105" i="1" s="1"/>
  <c r="L89" i="1"/>
  <c r="L39" i="1" s="1"/>
  <c r="L107" i="1" s="1"/>
  <c r="L78" i="1"/>
  <c r="L28" i="1" s="1"/>
  <c r="L96" i="1" s="1"/>
  <c r="F79" i="1"/>
  <c r="F29" i="1" s="1"/>
  <c r="F97" i="1" s="1"/>
  <c r="P81" i="1"/>
  <c r="P31" i="1" s="1"/>
  <c r="P99" i="1" s="1"/>
  <c r="T81" i="1"/>
  <c r="T31" i="1" s="1"/>
  <c r="T99" i="1" s="1"/>
  <c r="L85" i="1"/>
  <c r="Y77" i="1"/>
  <c r="Y27" i="1" s="1"/>
  <c r="Y95" i="1" s="1"/>
  <c r="R83" i="1"/>
  <c r="R33" i="1" s="1"/>
  <c r="R101" i="1" s="1"/>
  <c r="M78" i="1"/>
  <c r="M28" i="1" s="1"/>
  <c r="M96" i="1" s="1"/>
  <c r="T79" i="1"/>
  <c r="T29" i="1" s="1"/>
  <c r="T97" i="1" s="1"/>
  <c r="S77" i="1"/>
  <c r="S27" i="1" s="1"/>
  <c r="S95" i="1" s="1"/>
  <c r="O79" i="1"/>
  <c r="O29" i="1" s="1"/>
  <c r="O97" i="1" s="1"/>
  <c r="E81" i="1"/>
  <c r="E31" i="1" s="1"/>
  <c r="E99" i="1" s="1"/>
  <c r="M81" i="1"/>
  <c r="M31" i="1" s="1"/>
  <c r="M99" i="1" s="1"/>
  <c r="I85" i="1"/>
  <c r="G87" i="1"/>
  <c r="G37" i="1" s="1"/>
  <c r="G105" i="1" s="1"/>
  <c r="H79" i="1"/>
  <c r="H29" i="1" s="1"/>
  <c r="H97" i="1" s="1"/>
  <c r="M77" i="1"/>
  <c r="M27" i="1" s="1"/>
  <c r="M95" i="1" s="1"/>
  <c r="Q77" i="1"/>
  <c r="Q27" i="1" s="1"/>
  <c r="Q95" i="1" s="1"/>
  <c r="G78" i="1"/>
  <c r="G28" i="1" s="1"/>
  <c r="G96" i="1" s="1"/>
  <c r="O78" i="1"/>
  <c r="O28" i="1" s="1"/>
  <c r="O96" i="1" s="1"/>
  <c r="E79" i="1"/>
  <c r="E29" i="1" s="1"/>
  <c r="E97" i="1" s="1"/>
  <c r="Q79" i="1"/>
  <c r="Q29" i="1" s="1"/>
  <c r="Q97" i="1" s="1"/>
  <c r="U79" i="1"/>
  <c r="U29" i="1" s="1"/>
  <c r="U97" i="1" s="1"/>
  <c r="E83" i="1"/>
  <c r="E33" i="1" s="1"/>
  <c r="E101" i="1" s="1"/>
  <c r="I83" i="1"/>
  <c r="I33" i="1" s="1"/>
  <c r="I101" i="1" s="1"/>
  <c r="M83" i="1"/>
  <c r="M33" i="1" s="1"/>
  <c r="M101" i="1" s="1"/>
  <c r="G85" i="1"/>
  <c r="O85" i="1"/>
  <c r="M87" i="1"/>
  <c r="M37" i="1" s="1"/>
  <c r="M105" i="1" s="1"/>
  <c r="G89" i="1"/>
  <c r="G39" i="1" s="1"/>
  <c r="G107" i="1" s="1"/>
  <c r="E91" i="1"/>
  <c r="E41" i="1" s="1"/>
  <c r="E109" i="1" s="1"/>
  <c r="I91" i="1"/>
  <c r="I41" i="1" s="1"/>
  <c r="I109" i="1" s="1"/>
  <c r="D81" i="1"/>
  <c r="D31" i="1" s="1"/>
  <c r="D99" i="1" s="1"/>
  <c r="D89" i="1"/>
  <c r="D39" i="1" s="1"/>
  <c r="D107" i="1" s="1"/>
  <c r="J79" i="1"/>
  <c r="J29" i="1" s="1"/>
  <c r="J97" i="1" s="1"/>
  <c r="V79" i="1"/>
  <c r="V29" i="1" s="1"/>
  <c r="V97" i="1" s="1"/>
  <c r="H83" i="1"/>
  <c r="H33" i="1" s="1"/>
  <c r="H101" i="1" s="1"/>
  <c r="P83" i="1"/>
  <c r="P33" i="1" s="1"/>
  <c r="P101" i="1" s="1"/>
  <c r="E85" i="1"/>
  <c r="Q85" i="1"/>
  <c r="L87" i="1"/>
  <c r="L37" i="1" s="1"/>
  <c r="L105" i="1" s="1"/>
  <c r="N89" i="1"/>
  <c r="N39" i="1" s="1"/>
  <c r="N107" i="1" s="1"/>
  <c r="W81" i="1"/>
  <c r="W31" i="1" s="1"/>
  <c r="W99" i="1" s="1"/>
  <c r="F77" i="1"/>
  <c r="F27" i="1" s="1"/>
  <c r="F95" i="1" s="1"/>
  <c r="P78" i="1"/>
  <c r="P28" i="1" s="1"/>
  <c r="P96" i="1" s="1"/>
  <c r="N79" i="1"/>
  <c r="N29" i="1" s="1"/>
  <c r="N97" i="1" s="1"/>
  <c r="R79" i="1"/>
  <c r="R29" i="1" s="1"/>
  <c r="R97" i="1" s="1"/>
  <c r="P85" i="1"/>
  <c r="N87" i="1"/>
  <c r="N37" i="1" s="1"/>
  <c r="N105" i="1" s="1"/>
  <c r="H89" i="1"/>
  <c r="H39" i="1" s="1"/>
  <c r="H107" i="1" s="1"/>
  <c r="F91" i="1"/>
  <c r="F41" i="1" s="1"/>
  <c r="F109" i="1" s="1"/>
  <c r="J91" i="1"/>
  <c r="J41" i="1" s="1"/>
  <c r="J109" i="1" s="1"/>
  <c r="X78" i="1"/>
  <c r="X28" i="1" s="1"/>
  <c r="X96" i="1" s="1"/>
  <c r="L81" i="1"/>
  <c r="L31" i="1" s="1"/>
  <c r="L99" i="1" s="1"/>
  <c r="J83" i="1"/>
  <c r="J33" i="1" s="1"/>
  <c r="J101" i="1" s="1"/>
  <c r="H91" i="1"/>
  <c r="H41" i="1" s="1"/>
  <c r="H109" i="1" s="1"/>
  <c r="G77" i="1"/>
  <c r="G27" i="1" s="1"/>
  <c r="G95" i="1" s="1"/>
  <c r="Q81" i="1"/>
  <c r="Q31" i="1" s="1"/>
  <c r="Q99" i="1" s="1"/>
  <c r="O83" i="1"/>
  <c r="O33" i="1" s="1"/>
  <c r="O101" i="1" s="1"/>
  <c r="M85" i="1"/>
  <c r="E89" i="1"/>
  <c r="E39" i="1" s="1"/>
  <c r="E107" i="1" s="1"/>
  <c r="I89" i="1"/>
  <c r="I39" i="1" s="1"/>
  <c r="I107" i="1" s="1"/>
  <c r="M89" i="1"/>
  <c r="M39" i="1" s="1"/>
  <c r="M107" i="1" s="1"/>
  <c r="D78" i="1"/>
  <c r="D28" i="1" s="1"/>
  <c r="D96" i="1" s="1"/>
  <c r="E77" i="1"/>
  <c r="E27" i="1" s="1"/>
  <c r="E95" i="1" s="1"/>
  <c r="D83" i="1"/>
  <c r="D33" i="1" s="1"/>
  <c r="D101" i="1" s="1"/>
  <c r="F87" i="1"/>
  <c r="F37" i="1" s="1"/>
  <c r="F105" i="1" s="1"/>
  <c r="K91" i="1"/>
  <c r="K41" i="1" s="1"/>
  <c r="K109" i="1" s="1"/>
  <c r="Z77" i="1"/>
  <c r="Z27" i="1" s="1"/>
  <c r="Z95" i="1" s="1"/>
  <c r="H77" i="1"/>
  <c r="H27" i="1" s="1"/>
  <c r="H95" i="1" s="1"/>
  <c r="P77" i="1"/>
  <c r="P27" i="1" s="1"/>
  <c r="P95" i="1" s="1"/>
  <c r="T77" i="1"/>
  <c r="T27" i="1" s="1"/>
  <c r="T95" i="1" s="1"/>
  <c r="F78" i="1"/>
  <c r="F28" i="1" s="1"/>
  <c r="F96" i="1" s="1"/>
  <c r="J78" i="1"/>
  <c r="J28" i="1" s="1"/>
  <c r="J96" i="1" s="1"/>
  <c r="R78" i="1"/>
  <c r="R28" i="1" s="1"/>
  <c r="R96" i="1" s="1"/>
  <c r="J81" i="1"/>
  <c r="J31" i="1" s="1"/>
  <c r="J99" i="1" s="1"/>
  <c r="N81" i="1"/>
  <c r="N31" i="1" s="1"/>
  <c r="N99" i="1" s="1"/>
  <c r="F85" i="1"/>
  <c r="J85" i="1"/>
  <c r="H87" i="1"/>
  <c r="H37" i="1" s="1"/>
  <c r="H105" i="1" s="1"/>
  <c r="P87" i="1"/>
  <c r="P37" i="1" s="1"/>
  <c r="P105" i="1" s="1"/>
  <c r="W77" i="1"/>
  <c r="W27" i="1" s="1"/>
  <c r="W95" i="1" s="1"/>
  <c r="I77" i="1"/>
  <c r="I27" i="1" s="1"/>
  <c r="I95" i="1" s="1"/>
  <c r="U77" i="1"/>
  <c r="U27" i="1" s="1"/>
  <c r="U95" i="1" s="1"/>
  <c r="H78" i="1"/>
  <c r="H28" i="1" s="1"/>
  <c r="H96" i="1" s="1"/>
  <c r="T78" i="1"/>
  <c r="T28" i="1" s="1"/>
  <c r="T96" i="1" s="1"/>
  <c r="G79" i="1"/>
  <c r="G29" i="1" s="1"/>
  <c r="G97" i="1" s="1"/>
  <c r="S79" i="1"/>
  <c r="S29" i="1" s="1"/>
  <c r="S97" i="1" s="1"/>
  <c r="F81" i="1"/>
  <c r="F31" i="1" s="1"/>
  <c r="F99" i="1" s="1"/>
  <c r="R81" i="1"/>
  <c r="R31" i="1" s="1"/>
  <c r="R99" i="1" s="1"/>
  <c r="F83" i="1"/>
  <c r="F33" i="1" s="1"/>
  <c r="F101" i="1" s="1"/>
  <c r="N83" i="1"/>
  <c r="N33" i="1" s="1"/>
  <c r="N101" i="1" s="1"/>
  <c r="I87" i="1"/>
  <c r="I37" i="1" s="1"/>
  <c r="I105" i="1" s="1"/>
  <c r="J89" i="1"/>
  <c r="J39" i="1" s="1"/>
  <c r="J107" i="1" s="1"/>
  <c r="AB79" i="1"/>
  <c r="AB29" i="1" s="1"/>
  <c r="AB97" i="1" s="1"/>
  <c r="V78" i="1"/>
  <c r="V28" i="1" s="1"/>
  <c r="V96" i="1" s="1"/>
  <c r="I79" i="1"/>
  <c r="I29" i="1" s="1"/>
  <c r="I97" i="1" s="1"/>
  <c r="H81" i="1"/>
  <c r="H31" i="1" s="1"/>
  <c r="H99" i="1" s="1"/>
  <c r="R85" i="1"/>
  <c r="C32" i="3"/>
  <c r="C30" i="3"/>
  <c r="C31" i="3"/>
  <c r="C20" i="3"/>
  <c r="I32" i="3"/>
  <c r="I31" i="3"/>
  <c r="I30" i="3"/>
  <c r="O32" i="3"/>
  <c r="O31" i="3"/>
  <c r="O30" i="3"/>
  <c r="U32" i="3"/>
  <c r="U31" i="3"/>
  <c r="U30" i="3"/>
  <c r="AA32" i="3"/>
  <c r="AA31" i="3"/>
  <c r="AA30" i="3"/>
  <c r="AG32" i="3"/>
  <c r="AG31" i="3"/>
  <c r="AG30" i="3"/>
  <c r="H32" i="3"/>
  <c r="H31" i="3"/>
  <c r="H30" i="3"/>
  <c r="N32" i="3"/>
  <c r="N31" i="3"/>
  <c r="N30" i="3"/>
  <c r="T32" i="3"/>
  <c r="T31" i="3"/>
  <c r="T30" i="3"/>
  <c r="Z32" i="3"/>
  <c r="Z31" i="3"/>
  <c r="Z30" i="3"/>
  <c r="AF32" i="3"/>
  <c r="AF31" i="3"/>
  <c r="AF30" i="3"/>
  <c r="G32" i="3"/>
  <c r="G31" i="3"/>
  <c r="G30" i="3"/>
  <c r="M32" i="3"/>
  <c r="M31" i="3"/>
  <c r="M30" i="3"/>
  <c r="S32" i="3"/>
  <c r="S31" i="3"/>
  <c r="S30" i="3"/>
  <c r="Y32" i="3"/>
  <c r="Y31" i="3"/>
  <c r="Y30" i="3"/>
  <c r="AE32" i="3"/>
  <c r="AE31" i="3"/>
  <c r="AE30" i="3"/>
  <c r="F32" i="3"/>
  <c r="F31" i="3"/>
  <c r="F30" i="3"/>
  <c r="L32" i="3"/>
  <c r="L31" i="3"/>
  <c r="L30" i="3"/>
  <c r="R32" i="3"/>
  <c r="R31" i="3"/>
  <c r="R30" i="3"/>
  <c r="X32" i="3"/>
  <c r="X31" i="3"/>
  <c r="X30" i="3"/>
  <c r="AD32" i="3"/>
  <c r="AD31" i="3"/>
  <c r="AD30" i="3"/>
  <c r="E32" i="3"/>
  <c r="E31" i="3"/>
  <c r="E30" i="3"/>
  <c r="K32" i="3"/>
  <c r="K31" i="3"/>
  <c r="K30" i="3"/>
  <c r="Q32" i="3"/>
  <c r="Q31" i="3"/>
  <c r="Q30" i="3"/>
  <c r="W32" i="3"/>
  <c r="W31" i="3"/>
  <c r="W30" i="3"/>
  <c r="AC32" i="3"/>
  <c r="AC31" i="3"/>
  <c r="AC30" i="3"/>
  <c r="D32" i="3"/>
  <c r="D31" i="3"/>
  <c r="D30" i="3"/>
  <c r="J32" i="3"/>
  <c r="J31" i="3"/>
  <c r="J30" i="3"/>
  <c r="P32" i="3"/>
  <c r="P31" i="3"/>
  <c r="P30" i="3"/>
  <c r="V32" i="3"/>
  <c r="V31" i="3"/>
  <c r="V30" i="3"/>
  <c r="AB32" i="3"/>
  <c r="AB31" i="3"/>
  <c r="AB30" i="3"/>
  <c r="I20" i="3"/>
  <c r="O21" i="3"/>
  <c r="O20" i="3"/>
  <c r="U22" i="3"/>
  <c r="U21" i="3"/>
  <c r="U20" i="3"/>
  <c r="AA22" i="3"/>
  <c r="AA21" i="3"/>
  <c r="AA20" i="3"/>
  <c r="AG22" i="3"/>
  <c r="AG21" i="3"/>
  <c r="AG20" i="3"/>
  <c r="H20" i="3"/>
  <c r="N21" i="3"/>
  <c r="N20" i="3"/>
  <c r="T22" i="3"/>
  <c r="T21" i="3"/>
  <c r="T20" i="3"/>
  <c r="Z22" i="3"/>
  <c r="Z21" i="3"/>
  <c r="Z20" i="3"/>
  <c r="AF22" i="3"/>
  <c r="AF21" i="3"/>
  <c r="AF20" i="3"/>
  <c r="G20" i="3"/>
  <c r="M20" i="3"/>
  <c r="S22" i="3"/>
  <c r="S21" i="3"/>
  <c r="S20" i="3"/>
  <c r="Y22" i="3"/>
  <c r="Y21" i="3"/>
  <c r="Y20" i="3"/>
  <c r="AE22" i="3"/>
  <c r="AE21" i="3"/>
  <c r="AE20" i="3"/>
  <c r="F20" i="3"/>
  <c r="L20" i="3"/>
  <c r="R22" i="3"/>
  <c r="R21" i="3"/>
  <c r="R20" i="3"/>
  <c r="X22" i="3"/>
  <c r="X21" i="3"/>
  <c r="X20" i="3"/>
  <c r="AD22" i="3"/>
  <c r="AD21" i="3"/>
  <c r="AD20" i="3"/>
  <c r="E20" i="3"/>
  <c r="K20" i="3"/>
  <c r="Q21" i="3"/>
  <c r="Q20" i="3"/>
  <c r="W22" i="3"/>
  <c r="W21" i="3"/>
  <c r="W20" i="3"/>
  <c r="AC22" i="3"/>
  <c r="AC21" i="3"/>
  <c r="AC20" i="3"/>
  <c r="J20" i="3"/>
  <c r="P21" i="3"/>
  <c r="P20" i="3"/>
  <c r="V22" i="3"/>
  <c r="V21" i="3"/>
  <c r="V20" i="3"/>
  <c r="AB22" i="3"/>
  <c r="AB21" i="3"/>
  <c r="AB20" i="3"/>
  <c r="K35" i="1" l="1"/>
  <c r="K103" i="1" s="1"/>
  <c r="P35" i="1"/>
  <c r="P103" i="1" s="1"/>
  <c r="Q35" i="1"/>
  <c r="Q103" i="1" s="1"/>
  <c r="J35" i="1"/>
  <c r="J103" i="1" s="1"/>
  <c r="E35" i="1"/>
  <c r="E103" i="1" s="1"/>
  <c r="F35" i="1"/>
  <c r="F103" i="1" s="1"/>
  <c r="I35" i="1"/>
  <c r="I103" i="1" s="1"/>
  <c r="H35" i="1"/>
  <c r="H103" i="1" s="1"/>
  <c r="L35" i="1"/>
  <c r="L103" i="1" s="1"/>
  <c r="M35" i="1"/>
  <c r="M103" i="1" s="1"/>
  <c r="O35" i="1"/>
  <c r="O103" i="1" s="1"/>
  <c r="N35" i="1"/>
  <c r="N103" i="1" s="1"/>
  <c r="R35" i="1"/>
  <c r="R103" i="1" s="1"/>
  <c r="G35" i="1"/>
  <c r="G103" i="1" s="1"/>
  <c r="X77" i="1"/>
  <c r="X27" i="1" s="1"/>
  <c r="X95" i="1" s="1"/>
  <c r="W78" i="1"/>
  <c r="W28" i="1" s="1"/>
  <c r="W96" i="1" s="1"/>
</calcChain>
</file>

<file path=xl/comments1.xml><?xml version="1.0" encoding="utf-8"?>
<comments xmlns="http://schemas.openxmlformats.org/spreadsheetml/2006/main">
  <authors>
    <author>Tony Hays</author>
  </authors>
  <commentList>
    <comment ref="H9" authorId="0" shapeId="0">
      <text>
        <r>
          <rPr>
            <b/>
            <sz val="9"/>
            <color indexed="81"/>
            <rFont val="Tahoma"/>
            <family val="2"/>
          </rPr>
          <t>Tony Hays:</t>
        </r>
        <r>
          <rPr>
            <sz val="9"/>
            <color indexed="81"/>
            <rFont val="Tahoma"/>
            <family val="2"/>
          </rPr>
          <t xml:space="preserve">
Gur =ns (15) and (17)</t>
        </r>
      </text>
    </comment>
    <comment ref="F15" authorId="0" shapeId="0">
      <text>
        <r>
          <rPr>
            <b/>
            <sz val="9"/>
            <color indexed="81"/>
            <rFont val="Tahoma"/>
            <family val="2"/>
          </rPr>
          <t>Tony Hays:</t>
        </r>
        <r>
          <rPr>
            <sz val="9"/>
            <color indexed="81"/>
            <rFont val="Tahoma"/>
            <family val="2"/>
          </rPr>
          <t xml:space="preserve">
Modified from Schaufele value</t>
        </r>
      </text>
    </comment>
    <comment ref="F16" authorId="0" shapeId="0">
      <text>
        <r>
          <rPr>
            <b/>
            <sz val="9"/>
            <color indexed="81"/>
            <rFont val="Tahoma"/>
            <family val="2"/>
          </rPr>
          <t>Tony Hays:</t>
        </r>
        <r>
          <rPr>
            <sz val="9"/>
            <color indexed="81"/>
            <rFont val="Tahoma"/>
            <family val="2"/>
          </rPr>
          <t xml:space="preserve">
Modified from Schaufele value</t>
        </r>
      </text>
    </comment>
    <comment ref="F17" authorId="0" shapeId="0">
      <text>
        <r>
          <rPr>
            <b/>
            <sz val="9"/>
            <color indexed="81"/>
            <rFont val="Tahoma"/>
            <family val="2"/>
          </rPr>
          <t>Tony Hays:</t>
        </r>
        <r>
          <rPr>
            <sz val="9"/>
            <color indexed="81"/>
            <rFont val="Tahoma"/>
            <family val="2"/>
          </rPr>
          <t xml:space="preserve">
Modified from Schaufele value</t>
        </r>
      </text>
    </comment>
    <comment ref="F22" authorId="0" shapeId="0">
      <text>
        <r>
          <rPr>
            <b/>
            <sz val="9"/>
            <color indexed="81"/>
            <rFont val="Tahoma"/>
            <family val="2"/>
          </rPr>
          <t>Tony Hays:</t>
        </r>
        <r>
          <rPr>
            <sz val="9"/>
            <color indexed="81"/>
            <rFont val="Tahoma"/>
            <family val="2"/>
          </rPr>
          <t xml:space="preserve">
Extrapolated</t>
        </r>
      </text>
    </comment>
    <comment ref="F23" authorId="0" shapeId="0">
      <text>
        <r>
          <rPr>
            <b/>
            <sz val="9"/>
            <color indexed="81"/>
            <rFont val="Tahoma"/>
            <family val="2"/>
          </rPr>
          <t>Tony Hays:</t>
        </r>
        <r>
          <rPr>
            <sz val="9"/>
            <color indexed="81"/>
            <rFont val="Tahoma"/>
            <family val="2"/>
          </rPr>
          <t xml:space="preserve">
Extrapolated</t>
        </r>
      </text>
    </comment>
  </commentList>
</comments>
</file>

<file path=xl/comments2.xml><?xml version="1.0" encoding="utf-8"?>
<comments xmlns="http://schemas.openxmlformats.org/spreadsheetml/2006/main">
  <authors>
    <author>Tony Hays</author>
  </authors>
  <commentList>
    <comment ref="B12" authorId="0" shapeId="0">
      <text>
        <r>
          <rPr>
            <b/>
            <sz val="9"/>
            <color indexed="81"/>
            <rFont val="Tahoma"/>
            <family val="2"/>
          </rPr>
          <t>Tony Hays:</t>
        </r>
        <r>
          <rPr>
            <sz val="9"/>
            <color indexed="81"/>
            <rFont val="Tahoma"/>
            <family val="2"/>
          </rPr>
          <t xml:space="preserve">
Shevell Fig. 12.14</t>
        </r>
      </text>
    </comment>
    <comment ref="B13" authorId="0" shapeId="0">
      <text>
        <r>
          <rPr>
            <b/>
            <sz val="9"/>
            <color indexed="81"/>
            <rFont val="Tahoma"/>
            <family val="2"/>
          </rPr>
          <t>Tony Hays:</t>
        </r>
        <r>
          <rPr>
            <sz val="9"/>
            <color indexed="81"/>
            <rFont val="Tahoma"/>
            <family val="2"/>
          </rPr>
          <t xml:space="preserve">
Torenbeek Table 7.1
DC10-30 and 40  AR=7.21
DC10-10 and 15  AR=6.9</t>
        </r>
      </text>
    </comment>
    <comment ref="B14" authorId="0" shapeId="0">
      <text>
        <r>
          <rPr>
            <b/>
            <sz val="9"/>
            <color indexed="81"/>
            <rFont val="Tahoma"/>
            <family val="2"/>
          </rPr>
          <t>Tony Hays:</t>
        </r>
        <r>
          <rPr>
            <sz val="9"/>
            <color indexed="81"/>
            <rFont val="Tahoma"/>
            <family val="2"/>
          </rPr>
          <t xml:space="preserve">
Shevell p. 277</t>
        </r>
      </text>
    </comment>
    <comment ref="B15" authorId="0" shapeId="0">
      <text>
        <r>
          <rPr>
            <b/>
            <sz val="9"/>
            <color indexed="81"/>
            <rFont val="Tahoma"/>
            <family val="2"/>
          </rPr>
          <t>Tony Hays:</t>
        </r>
        <r>
          <rPr>
            <sz val="9"/>
            <color indexed="81"/>
            <rFont val="Tahoma"/>
            <family val="2"/>
          </rPr>
          <t xml:space="preserve">
Torenbeek Table 7.1</t>
        </r>
      </text>
    </comment>
    <comment ref="B21" authorId="0" shapeId="0">
      <text>
        <r>
          <rPr>
            <b/>
            <sz val="9"/>
            <color indexed="81"/>
            <rFont val="Tahoma"/>
            <family val="2"/>
          </rPr>
          <t>Tony Hays:</t>
        </r>
        <r>
          <rPr>
            <sz val="9"/>
            <color indexed="81"/>
            <rFont val="Tahoma"/>
            <family val="2"/>
          </rPr>
          <t xml:space="preserve">
See text box</t>
        </r>
      </text>
    </comment>
  </commentList>
</comments>
</file>

<file path=xl/comments3.xml><?xml version="1.0" encoding="utf-8"?>
<comments xmlns="http://schemas.openxmlformats.org/spreadsheetml/2006/main">
  <authors>
    <author>Tony Hays</author>
  </authors>
  <commentList>
    <comment ref="A5" authorId="0" shapeId="0">
      <text>
        <r>
          <rPr>
            <b/>
            <sz val="8"/>
            <color indexed="81"/>
            <rFont val="Tahoma"/>
            <family val="2"/>
          </rPr>
          <t>Tony Hays:</t>
        </r>
        <r>
          <rPr>
            <sz val="8"/>
            <color indexed="81"/>
            <rFont val="Tahoma"/>
            <family val="2"/>
          </rPr>
          <t xml:space="preserve">
Source of geometric data.</t>
        </r>
      </text>
    </comment>
    <comment ref="G5" authorId="0" shapeId="0">
      <text>
        <r>
          <rPr>
            <b/>
            <sz val="8"/>
            <color indexed="81"/>
            <rFont val="Tahoma"/>
            <family val="2"/>
          </rPr>
          <t>Tony Hays:</t>
        </r>
        <r>
          <rPr>
            <sz val="8"/>
            <color indexed="81"/>
            <rFont val="Tahoma"/>
            <family val="2"/>
          </rPr>
          <t xml:space="preserve">
Best fit of drag map values in Obert.</t>
        </r>
      </text>
    </comment>
    <comment ref="D10" authorId="0" shapeId="0">
      <text>
        <r>
          <rPr>
            <b/>
            <sz val="8"/>
            <color indexed="81"/>
            <rFont val="Tahoma"/>
            <family val="2"/>
          </rPr>
          <t>Tony Hays:</t>
        </r>
        <r>
          <rPr>
            <sz val="8"/>
            <color indexed="81"/>
            <rFont val="Tahoma"/>
            <family val="2"/>
          </rPr>
          <t xml:space="preserve">
According to Obert p 247, this is too high</t>
        </r>
      </text>
    </comment>
    <comment ref="E10" authorId="0" shapeId="0">
      <text>
        <r>
          <rPr>
            <b/>
            <sz val="8"/>
            <color indexed="81"/>
            <rFont val="Tahoma"/>
            <family val="2"/>
          </rPr>
          <t>Tony Hays:</t>
        </r>
        <r>
          <rPr>
            <sz val="8"/>
            <color indexed="81"/>
            <rFont val="Tahoma"/>
            <family val="2"/>
          </rPr>
          <t xml:space="preserve">
Obert p 247
</t>
        </r>
      </text>
    </comment>
    <comment ref="C13" authorId="0" shapeId="0">
      <text>
        <r>
          <rPr>
            <b/>
            <sz val="8"/>
            <color indexed="81"/>
            <rFont val="Tahoma"/>
            <family val="2"/>
          </rPr>
          <t>Tony Hays:</t>
        </r>
        <r>
          <rPr>
            <sz val="8"/>
            <color indexed="81"/>
            <rFont val="Tahoma"/>
            <family val="2"/>
          </rPr>
          <t xml:space="preserve">
Obert p 250</t>
        </r>
      </text>
    </comment>
    <comment ref="F13" authorId="0" shapeId="0">
      <text>
        <r>
          <rPr>
            <b/>
            <sz val="8"/>
            <color indexed="81"/>
            <rFont val="Tahoma"/>
            <family val="2"/>
          </rPr>
          <t>Tony Hays:</t>
        </r>
        <r>
          <rPr>
            <sz val="8"/>
            <color indexed="81"/>
            <rFont val="Tahoma"/>
            <family val="2"/>
          </rPr>
          <t xml:space="preserve">
Obert p 250</t>
        </r>
      </text>
    </comment>
    <comment ref="D14" authorId="0" shapeId="0">
      <text>
        <r>
          <rPr>
            <b/>
            <sz val="8"/>
            <color indexed="81"/>
            <rFont val="Tahoma"/>
            <family val="2"/>
          </rPr>
          <t>Tony Hays:</t>
        </r>
        <r>
          <rPr>
            <sz val="8"/>
            <color indexed="81"/>
            <rFont val="Tahoma"/>
            <family val="2"/>
          </rPr>
          <t xml:space="preserve">
Wikipedia</t>
        </r>
      </text>
    </comment>
  </commentList>
</comments>
</file>

<file path=xl/sharedStrings.xml><?xml version="1.0" encoding="utf-8"?>
<sst xmlns="http://schemas.openxmlformats.org/spreadsheetml/2006/main" count="89" uniqueCount="64">
  <si>
    <t xml:space="preserve">Aspect Ratio </t>
  </si>
  <si>
    <t>Oswald efficiency factor</t>
  </si>
  <si>
    <t>Mach</t>
  </si>
  <si>
    <t>Aspect Ratio</t>
  </si>
  <si>
    <t>Parasite drag (clean)</t>
  </si>
  <si>
    <r>
      <t>C</t>
    </r>
    <r>
      <rPr>
        <vertAlign val="subscript"/>
        <sz val="11"/>
        <color theme="1"/>
        <rFont val="Calibri"/>
        <family val="2"/>
        <scheme val="minor"/>
      </rPr>
      <t>L</t>
    </r>
  </si>
  <si>
    <t>Assumptions:</t>
  </si>
  <si>
    <t>Parasite drag coeff.</t>
  </si>
  <si>
    <r>
      <t>C</t>
    </r>
    <r>
      <rPr>
        <vertAlign val="subscript"/>
        <sz val="8"/>
        <color theme="1"/>
        <rFont val="Calibri"/>
        <family val="2"/>
        <scheme val="minor"/>
      </rPr>
      <t>L</t>
    </r>
  </si>
  <si>
    <r>
      <t>ΔC</t>
    </r>
    <r>
      <rPr>
        <vertAlign val="subscript"/>
        <sz val="11"/>
        <color theme="1"/>
        <rFont val="Calibri"/>
        <family val="2"/>
      </rPr>
      <t>D</t>
    </r>
    <r>
      <rPr>
        <sz val="11"/>
        <color theme="1"/>
        <rFont val="Calibri"/>
        <family val="2"/>
      </rPr>
      <t xml:space="preserve"> slats</t>
    </r>
  </si>
  <si>
    <r>
      <t>ΔC</t>
    </r>
    <r>
      <rPr>
        <vertAlign val="subscript"/>
        <sz val="11"/>
        <color theme="1"/>
        <rFont val="Calibri"/>
        <family val="2"/>
      </rPr>
      <t>D</t>
    </r>
    <r>
      <rPr>
        <sz val="11"/>
        <color theme="1"/>
        <rFont val="Calibri"/>
        <family val="2"/>
      </rPr>
      <t xml:space="preserve"> flaps 15</t>
    </r>
  </si>
  <si>
    <r>
      <t>ΔC</t>
    </r>
    <r>
      <rPr>
        <vertAlign val="subscript"/>
        <sz val="11"/>
        <color theme="1"/>
        <rFont val="Calibri"/>
        <family val="2"/>
      </rPr>
      <t>D</t>
    </r>
    <r>
      <rPr>
        <sz val="11"/>
        <color theme="1"/>
        <rFont val="Calibri"/>
        <family val="2"/>
      </rPr>
      <t xml:space="preserve"> flaps 25</t>
    </r>
  </si>
  <si>
    <r>
      <t>ΔC</t>
    </r>
    <r>
      <rPr>
        <vertAlign val="subscript"/>
        <sz val="11"/>
        <color theme="1"/>
        <rFont val="Calibri"/>
        <family val="2"/>
      </rPr>
      <t>D</t>
    </r>
    <r>
      <rPr>
        <sz val="11"/>
        <color theme="1"/>
        <rFont val="Calibri"/>
        <family val="2"/>
      </rPr>
      <t xml:space="preserve"> flaps 50</t>
    </r>
  </si>
  <si>
    <t>Average t/c</t>
  </si>
  <si>
    <t>Sweep at 1/4c (deg)</t>
  </si>
  <si>
    <t>Taper ratio</t>
  </si>
  <si>
    <t>Sweep at 1/4c (rad)</t>
  </si>
  <si>
    <t>Korn constant (Ka)</t>
  </si>
  <si>
    <t>A300</t>
  </si>
  <si>
    <t>Ka</t>
  </si>
  <si>
    <t>BAe 146</t>
  </si>
  <si>
    <t>B737</t>
  </si>
  <si>
    <t>B757</t>
  </si>
  <si>
    <t>B747</t>
  </si>
  <si>
    <t>B767</t>
  </si>
  <si>
    <t>DC-10</t>
  </si>
  <si>
    <t>Type</t>
  </si>
  <si>
    <r>
      <rPr>
        <sz val="11"/>
        <color theme="1"/>
        <rFont val="Calibri"/>
        <family val="2"/>
      </rPr>
      <t>Λ</t>
    </r>
    <r>
      <rPr>
        <vertAlign val="subscript"/>
        <sz val="11"/>
        <color theme="1"/>
        <rFont val="Calibri"/>
        <family val="2"/>
      </rPr>
      <t>1/4c</t>
    </r>
  </si>
  <si>
    <r>
      <t>M</t>
    </r>
    <r>
      <rPr>
        <vertAlign val="subscript"/>
        <sz val="11"/>
        <color theme="1"/>
        <rFont val="Calibri"/>
        <family val="2"/>
        <scheme val="minor"/>
      </rPr>
      <t>cr</t>
    </r>
  </si>
  <si>
    <t>Roskam</t>
  </si>
  <si>
    <t>Source</t>
  </si>
  <si>
    <t>B777</t>
  </si>
  <si>
    <t>AR</t>
  </si>
  <si>
    <t>av. t/c</t>
  </si>
  <si>
    <t>A340</t>
  </si>
  <si>
    <t>B787</t>
  </si>
  <si>
    <t>Piano</t>
  </si>
  <si>
    <t>Wiki</t>
  </si>
  <si>
    <t>Sweep at c/2 (rad)</t>
  </si>
  <si>
    <t>Sweep at c/2 (deg)</t>
  </si>
  <si>
    <r>
      <t>(M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Douglas</t>
    </r>
    <r>
      <rPr>
        <sz val="11"/>
        <color theme="1"/>
        <rFont val="Calibri"/>
        <family val="2"/>
        <scheme val="minor"/>
      </rPr>
      <t xml:space="preserve"> - (M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Boeing</t>
    </r>
  </si>
  <si>
    <r>
      <t>(M</t>
    </r>
    <r>
      <rPr>
        <vertAlign val="subscript"/>
        <sz val="11"/>
        <color theme="1"/>
        <rFont val="Calibri"/>
        <family val="2"/>
        <scheme val="minor"/>
      </rPr>
      <t>DD</t>
    </r>
    <r>
      <rPr>
        <sz val="11"/>
        <color theme="1"/>
        <rFont val="Calibri"/>
        <family val="2"/>
        <scheme val="minor"/>
      </rPr>
      <t>)</t>
    </r>
    <r>
      <rPr>
        <vertAlign val="subscript"/>
        <sz val="11"/>
        <color theme="1"/>
        <rFont val="Calibri"/>
        <family val="2"/>
        <scheme val="minor"/>
      </rPr>
      <t>Douglas</t>
    </r>
  </si>
  <si>
    <t>exp1</t>
  </si>
  <si>
    <t>exp2</t>
  </si>
  <si>
    <t>E</t>
  </si>
  <si>
    <t>D</t>
  </si>
  <si>
    <t>C</t>
  </si>
  <si>
    <t>B</t>
  </si>
  <si>
    <t>A</t>
  </si>
  <si>
    <t>Power function gradient</t>
  </si>
  <si>
    <t>Lock's 4th Power</t>
  </si>
  <si>
    <t>Power Function</t>
  </si>
  <si>
    <t xml:space="preserve"> Schaufe Fig 12-10</t>
  </si>
  <si>
    <r>
      <t>M-M</t>
    </r>
    <r>
      <rPr>
        <vertAlign val="subscript"/>
        <sz val="11"/>
        <color theme="1"/>
        <rFont val="Calibri"/>
        <family val="2"/>
        <scheme val="minor"/>
      </rPr>
      <t>DD</t>
    </r>
  </si>
  <si>
    <r>
      <t>Power function value (</t>
    </r>
    <r>
      <rPr>
        <sz val="11"/>
        <color theme="1"/>
        <rFont val="Calibri"/>
        <family val="2"/>
      </rPr>
      <t>ΔC</t>
    </r>
    <r>
      <rPr>
        <vertAlign val="subscript"/>
        <sz val="11"/>
        <color theme="1"/>
        <rFont val="Calibri"/>
        <family val="2"/>
      </rPr>
      <t>Dc</t>
    </r>
    <r>
      <rPr>
        <sz val="11"/>
        <color theme="1"/>
        <rFont val="Calibri"/>
        <family val="2"/>
        <scheme val="minor"/>
      </rPr>
      <t>)</t>
    </r>
  </si>
  <si>
    <t>Variables in Eq. above</t>
  </si>
  <si>
    <t>User- Selected Values</t>
  </si>
  <si>
    <r>
      <t>C</t>
    </r>
    <r>
      <rPr>
        <vertAlign val="subscript"/>
        <sz val="11"/>
        <color theme="1"/>
        <rFont val="Calibri"/>
        <family val="2"/>
        <scheme val="minor"/>
      </rPr>
      <t>L</t>
    </r>
    <r>
      <rPr>
        <sz val="11"/>
        <color theme="1"/>
        <rFont val="Calibri"/>
        <family val="2"/>
        <scheme val="minor"/>
      </rPr>
      <t>^2</t>
    </r>
  </si>
  <si>
    <r>
      <t>C</t>
    </r>
    <r>
      <rPr>
        <vertAlign val="subscript"/>
        <sz val="11"/>
        <color theme="1"/>
        <rFont val="Calibri"/>
        <family val="2"/>
        <scheme val="minor"/>
      </rPr>
      <t>D</t>
    </r>
    <r>
      <rPr>
        <sz val="11"/>
        <color theme="1"/>
        <rFont val="Calibri"/>
        <family val="2"/>
        <scheme val="minor"/>
      </rPr>
      <t xml:space="preserve"> clean</t>
    </r>
  </si>
  <si>
    <r>
      <t xml:space="preserve"> + ΔC</t>
    </r>
    <r>
      <rPr>
        <vertAlign val="subscript"/>
        <sz val="11"/>
        <color theme="1"/>
        <rFont val="Calibri"/>
        <family val="2"/>
      </rPr>
      <t>D</t>
    </r>
    <r>
      <rPr>
        <sz val="11"/>
        <color theme="1"/>
        <rFont val="Calibri"/>
        <family val="2"/>
      </rPr>
      <t xml:space="preserve"> slats</t>
    </r>
  </si>
  <si>
    <r>
      <t xml:space="preserve"> + ΔC</t>
    </r>
    <r>
      <rPr>
        <vertAlign val="subscript"/>
        <sz val="11"/>
        <color theme="1"/>
        <rFont val="Calibri"/>
        <family val="2"/>
      </rPr>
      <t>D</t>
    </r>
    <r>
      <rPr>
        <sz val="11"/>
        <color theme="1"/>
        <rFont val="Calibri"/>
        <family val="2"/>
      </rPr>
      <t xml:space="preserve"> flaps 15</t>
    </r>
  </si>
  <si>
    <r>
      <t xml:space="preserve"> + ΔC</t>
    </r>
    <r>
      <rPr>
        <vertAlign val="subscript"/>
        <sz val="11"/>
        <color theme="1"/>
        <rFont val="Calibri"/>
        <family val="2"/>
      </rPr>
      <t>D</t>
    </r>
    <r>
      <rPr>
        <sz val="11"/>
        <color theme="1"/>
        <rFont val="Calibri"/>
        <family val="2"/>
      </rPr>
      <t xml:space="preserve"> flaps 25</t>
    </r>
  </si>
  <si>
    <r>
      <t xml:space="preserve"> + ΔC</t>
    </r>
    <r>
      <rPr>
        <vertAlign val="subscript"/>
        <sz val="11"/>
        <color theme="1"/>
        <rFont val="Calibri"/>
        <family val="2"/>
      </rPr>
      <t>D</t>
    </r>
    <r>
      <rPr>
        <sz val="11"/>
        <color theme="1"/>
        <rFont val="Calibri"/>
        <family val="2"/>
      </rPr>
      <t xml:space="preserve"> flaps 50</t>
    </r>
  </si>
  <si>
    <r>
      <t xml:space="preserve"> + ΔC</t>
    </r>
    <r>
      <rPr>
        <vertAlign val="subscript"/>
        <sz val="11"/>
        <color theme="1"/>
        <rFont val="Calibri"/>
        <family val="2"/>
      </rPr>
      <t>D</t>
    </r>
    <r>
      <rPr>
        <sz val="11"/>
        <color theme="1"/>
        <rFont val="Calibri"/>
        <family val="2"/>
      </rPr>
      <t xml:space="preserve"> flaps 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</si>
</sst>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0"/>
    <numFmt numFmtId="166" formatCode="0.000"/>
  </numFmts>
  <fonts count="12" x14ac:knownFonts="1">
    <font>
      <sz val="11"/>
      <color theme="1"/>
      <name val="Calibri"/>
      <family val="2"/>
      <scheme val="minor"/>
    </font>
    <font>
      <sz val="11"/>
      <color theme="1"/>
      <name val="Calibri"/>
      <family val="2"/>
    </font>
    <font>
      <vertAlign val="subscript"/>
      <sz val="11"/>
      <color theme="1"/>
      <name val="Calibri"/>
      <family val="2"/>
      <scheme val="minor"/>
    </font>
    <font>
      <sz val="11"/>
      <color theme="1"/>
      <name val="Calibri"/>
      <family val="2"/>
    </font>
    <font>
      <sz val="11"/>
      <color rgb="FF000000"/>
      <name val="Calibri"/>
      <family val="2"/>
      <scheme val="minor"/>
    </font>
    <font>
      <vertAlign val="subscript"/>
      <sz val="8"/>
      <color theme="1"/>
      <name val="Calibri"/>
      <family val="2"/>
      <scheme val="minor"/>
    </font>
    <font>
      <sz val="8"/>
      <color indexed="81"/>
      <name val="Tahoma"/>
      <family val="2"/>
    </font>
    <font>
      <b/>
      <sz val="8"/>
      <color indexed="81"/>
      <name val="Tahoma"/>
      <family val="2"/>
    </font>
    <font>
      <vertAlign val="subscript"/>
      <sz val="11"/>
      <color theme="1"/>
      <name val="Calibri"/>
      <family val="2"/>
    </font>
    <font>
      <sz val="11"/>
      <color rgb="FFFF0000"/>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5" xfId="0" applyBorder="1"/>
    <xf numFmtId="0" fontId="0" fillId="0" borderId="3" xfId="0" applyBorder="1"/>
    <xf numFmtId="0" fontId="0" fillId="0" borderId="0" xfId="0" applyBorder="1"/>
    <xf numFmtId="0" fontId="4" fillId="0" borderId="0" xfId="0" applyFont="1"/>
    <xf numFmtId="0" fontId="0" fillId="0" borderId="1" xfId="0" applyBorder="1" applyAlignment="1">
      <alignment horizontal="center"/>
    </xf>
    <xf numFmtId="0" fontId="0" fillId="0" borderId="1" xfId="0" applyBorder="1" applyAlignment="1">
      <alignment horizontal="center"/>
    </xf>
    <xf numFmtId="0" fontId="0" fillId="0" borderId="10" xfId="0" applyBorder="1"/>
    <xf numFmtId="0" fontId="0" fillId="0" borderId="11" xfId="0" applyBorder="1"/>
    <xf numFmtId="0" fontId="0" fillId="0" borderId="12" xfId="0" applyBorder="1"/>
    <xf numFmtId="0" fontId="0" fillId="0" borderId="6" xfId="0" applyBorder="1"/>
    <xf numFmtId="0" fontId="0" fillId="0" borderId="8" xfId="0" applyBorder="1"/>
    <xf numFmtId="0" fontId="0" fillId="0" borderId="9" xfId="0" applyBorder="1"/>
    <xf numFmtId="0" fontId="3" fillId="0" borderId="1" xfId="0" applyFont="1" applyBorder="1" applyAlignment="1">
      <alignment horizontal="center"/>
    </xf>
    <xf numFmtId="0" fontId="0" fillId="0" borderId="2" xfId="0" applyBorder="1"/>
    <xf numFmtId="0" fontId="9" fillId="0" borderId="6" xfId="0" applyFont="1" applyBorder="1"/>
    <xf numFmtId="0" fontId="0" fillId="0" borderId="5" xfId="0" applyFill="1" applyBorder="1"/>
    <xf numFmtId="0" fontId="9" fillId="0" borderId="6" xfId="0" applyFont="1" applyFill="1" applyBorder="1"/>
    <xf numFmtId="0" fontId="0" fillId="0" borderId="7" xfId="0" applyFill="1" applyBorder="1"/>
    <xf numFmtId="0" fontId="9" fillId="0" borderId="9" xfId="0" applyFont="1" applyBorder="1"/>
    <xf numFmtId="166" fontId="0" fillId="0" borderId="3" xfId="0" applyNumberFormat="1" applyBorder="1"/>
    <xf numFmtId="2" fontId="0" fillId="0" borderId="0" xfId="0" applyNumberFormat="1" applyBorder="1"/>
    <xf numFmtId="166" fontId="0" fillId="2" borderId="1" xfId="0" applyNumberFormat="1" applyFill="1" applyBorder="1"/>
    <xf numFmtId="2" fontId="0" fillId="0" borderId="2" xfId="0" applyNumberFormat="1" applyBorder="1"/>
    <xf numFmtId="166" fontId="0" fillId="2" borderId="3" xfId="0" applyNumberFormat="1" applyFill="1" applyBorder="1"/>
    <xf numFmtId="2" fontId="0" fillId="0" borderId="5" xfId="0" applyNumberFormat="1" applyBorder="1"/>
    <xf numFmtId="2" fontId="0" fillId="0" borderId="7" xfId="0" applyNumberFormat="1" applyBorder="1"/>
    <xf numFmtId="166" fontId="0" fillId="2" borderId="8" xfId="0" applyNumberFormat="1" applyFill="1" applyBorder="1"/>
    <xf numFmtId="0" fontId="0" fillId="0" borderId="2" xfId="0" applyBorder="1" applyAlignment="1">
      <alignment horizontal="center"/>
    </xf>
    <xf numFmtId="0" fontId="0" fillId="3" borderId="3" xfId="0" applyFill="1" applyBorder="1" applyAlignment="1">
      <alignment horizontal="center"/>
    </xf>
    <xf numFmtId="0" fontId="0" fillId="0" borderId="3" xfId="0" applyBorder="1" applyAlignment="1">
      <alignment horizontal="center"/>
    </xf>
    <xf numFmtId="2" fontId="0" fillId="0" borderId="3" xfId="0" applyNumberFormat="1" applyBorder="1"/>
    <xf numFmtId="2" fontId="0" fillId="0" borderId="4" xfId="0" applyNumberFormat="1" applyBorder="1"/>
    <xf numFmtId="165" fontId="9" fillId="0" borderId="6" xfId="0" applyNumberFormat="1" applyFont="1" applyBorder="1"/>
    <xf numFmtId="0" fontId="9" fillId="0" borderId="4" xfId="0" applyFont="1" applyBorder="1"/>
    <xf numFmtId="165" fontId="0" fillId="0" borderId="1" xfId="0" applyNumberFormat="1" applyBorder="1"/>
    <xf numFmtId="0" fontId="0" fillId="0" borderId="0" xfId="0" applyBorder="1" applyAlignment="1">
      <alignment horizontal="center"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7" xfId="0" applyBorder="1"/>
    <xf numFmtId="165" fontId="0" fillId="0" borderId="8" xfId="0" applyNumberFormat="1" applyBorder="1"/>
    <xf numFmtId="0" fontId="0" fillId="0" borderId="16" xfId="0" applyBorder="1"/>
    <xf numFmtId="165" fontId="0" fillId="0" borderId="13" xfId="0" applyNumberFormat="1"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wrapText="1"/>
    </xf>
    <xf numFmtId="0" fontId="0" fillId="0" borderId="9" xfId="0" applyBorder="1" applyAlignment="1">
      <alignment horizontal="center" wrapText="1"/>
    </xf>
    <xf numFmtId="0" fontId="0" fillId="0" borderId="2" xfId="0" applyBorder="1" applyAlignment="1">
      <alignment horizontal="center" wrapText="1"/>
    </xf>
    <xf numFmtId="0" fontId="0" fillId="0" borderId="5" xfId="0" applyBorder="1" applyAlignment="1">
      <alignment horizontal="center" wrapText="1"/>
    </xf>
    <xf numFmtId="0" fontId="9" fillId="0" borderId="17" xfId="0" applyFont="1" applyBorder="1"/>
    <xf numFmtId="0" fontId="0" fillId="0" borderId="7" xfId="0" applyBorder="1" applyAlignment="1">
      <alignment horizontal="center" wrapText="1"/>
    </xf>
    <xf numFmtId="0" fontId="0" fillId="0" borderId="2" xfId="0" applyBorder="1" applyAlignment="1">
      <alignment horizontal="left"/>
    </xf>
    <xf numFmtId="0" fontId="0" fillId="0" borderId="3" xfId="0" applyBorder="1" applyAlignment="1">
      <alignment horizontal="left"/>
    </xf>
    <xf numFmtId="166" fontId="0" fillId="0" borderId="4" xfId="0" applyNumberFormat="1" applyBorder="1"/>
    <xf numFmtId="0" fontId="0" fillId="0" borderId="7" xfId="0" applyBorder="1" applyAlignment="1">
      <alignment horizontal="left"/>
    </xf>
    <xf numFmtId="0" fontId="0" fillId="0" borderId="8" xfId="0" applyBorder="1" applyAlignment="1">
      <alignment horizontal="left"/>
    </xf>
    <xf numFmtId="165" fontId="0" fillId="0" borderId="9" xfId="0" applyNumberFormat="1" applyBorder="1"/>
    <xf numFmtId="0" fontId="9" fillId="3" borderId="4" xfId="0" applyFont="1" applyFill="1" applyBorder="1"/>
    <xf numFmtId="0" fontId="9" fillId="3" borderId="6" xfId="0" applyFont="1" applyFill="1" applyBorder="1"/>
    <xf numFmtId="0" fontId="3" fillId="0" borderId="5" xfId="0" applyFont="1" applyBorder="1"/>
    <xf numFmtId="165" fontId="9" fillId="3" borderId="6" xfId="0" applyNumberFormat="1" applyFont="1" applyFill="1" applyBorder="1"/>
    <xf numFmtId="0" fontId="3" fillId="0" borderId="7" xfId="0" applyFont="1" applyBorder="1"/>
    <xf numFmtId="0" fontId="0" fillId="0" borderId="3" xfId="0" applyBorder="1" applyAlignment="1">
      <alignment horizontal="center"/>
    </xf>
    <xf numFmtId="0" fontId="0" fillId="0" borderId="4" xfId="0" applyBorder="1" applyAlignment="1">
      <alignment horizontal="center"/>
    </xf>
    <xf numFmtId="0" fontId="1" fillId="0" borderId="5" xfId="0" applyFont="1" applyBorder="1"/>
    <xf numFmtId="0" fontId="1" fillId="0" borderId="7" xfId="0" applyFont="1" applyBorder="1"/>
    <xf numFmtId="165" fontId="9" fillId="3" borderId="9"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Compressibility Drag Coeff   C</a:t>
            </a:r>
            <a:r>
              <a:rPr lang="en-US" baseline="-25000"/>
              <a:t>D</a:t>
            </a:r>
            <a:r>
              <a:rPr lang="en-US" baseline="-50000"/>
              <a:t>C</a:t>
            </a:r>
            <a:r>
              <a:rPr lang="en-US" baseline="0"/>
              <a:t> vs (M-M</a:t>
            </a:r>
            <a:r>
              <a:rPr lang="en-US" baseline="-25000"/>
              <a:t>DD</a:t>
            </a:r>
            <a:r>
              <a:rPr lang="en-US" baseline="0"/>
              <a:t>)</a:t>
            </a:r>
            <a:endParaRPr lang="en-US"/>
          </a:p>
        </c:rich>
      </c:tx>
      <c:layout/>
      <c:overlay val="0"/>
    </c:title>
    <c:autoTitleDeleted val="0"/>
    <c:plotArea>
      <c:layout>
        <c:manualLayout>
          <c:layoutTarget val="inner"/>
          <c:xMode val="edge"/>
          <c:yMode val="edge"/>
          <c:x val="4.2818746214415504E-2"/>
          <c:y val="0.12357578492066482"/>
          <c:w val="0.73701790952601509"/>
          <c:h val="0.79946373443407681"/>
        </c:manualLayout>
      </c:layout>
      <c:scatterChart>
        <c:scatterStyle val="smoothMarker"/>
        <c:varyColors val="0"/>
        <c:ser>
          <c:idx val="2"/>
          <c:order val="0"/>
          <c:tx>
            <c:v>Power function</c:v>
          </c:tx>
          <c:marker>
            <c:symbol val="none"/>
          </c:marker>
          <c:trendline>
            <c:trendlineType val="power"/>
            <c:dispRSqr val="0"/>
            <c:dispEq val="0"/>
          </c:trendline>
          <c:trendline>
            <c:trendlineType val="log"/>
            <c:dispRSqr val="0"/>
            <c:dispEq val="0"/>
          </c:trendline>
          <c:trendline>
            <c:trendlineType val="log"/>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power"/>
            <c:dispRSqr val="0"/>
            <c:dispEq val="0"/>
          </c:trendline>
          <c:xVal>
            <c:numRef>
              <c:f>'Drag Rise'!$E$11:$E$23</c:f>
              <c:numCache>
                <c:formatCode>General</c:formatCode>
                <c:ptCount val="13"/>
                <c:pt idx="0">
                  <c:v>-0.3</c:v>
                </c:pt>
                <c:pt idx="1">
                  <c:v>-0.25</c:v>
                </c:pt>
                <c:pt idx="2">
                  <c:v>-0.2</c:v>
                </c:pt>
                <c:pt idx="3">
                  <c:v>-0.1</c:v>
                </c:pt>
                <c:pt idx="4">
                  <c:v>-0.05</c:v>
                </c:pt>
                <c:pt idx="5">
                  <c:v>-0.03</c:v>
                </c:pt>
                <c:pt idx="6">
                  <c:v>-0.02</c:v>
                </c:pt>
                <c:pt idx="7">
                  <c:v>-0.01</c:v>
                </c:pt>
                <c:pt idx="8">
                  <c:v>0</c:v>
                </c:pt>
                <c:pt idx="9">
                  <c:v>0.01</c:v>
                </c:pt>
                <c:pt idx="10">
                  <c:v>0.02</c:v>
                </c:pt>
                <c:pt idx="11">
                  <c:v>0.03</c:v>
                </c:pt>
                <c:pt idx="12">
                  <c:v>0.04</c:v>
                </c:pt>
              </c:numCache>
            </c:numRef>
          </c:xVal>
          <c:yVal>
            <c:numRef>
              <c:f>'Drag Rise'!$G$11:$G$23</c:f>
              <c:numCache>
                <c:formatCode>0.0000</c:formatCode>
                <c:ptCount val="13"/>
                <c:pt idx="0">
                  <c:v>9.7313678380790891E-8</c:v>
                </c:pt>
                <c:pt idx="1">
                  <c:v>1.3772694215439614E-5</c:v>
                </c:pt>
                <c:pt idx="2">
                  <c:v>6.5164086415074886E-5</c:v>
                </c:pt>
                <c:pt idx="3">
                  <c:v>3.3566364549439669E-4</c:v>
                </c:pt>
                <c:pt idx="4">
                  <c:v>6.0101993068116749E-4</c:v>
                </c:pt>
                <c:pt idx="5">
                  <c:v>8.2836592388498237E-4</c:v>
                </c:pt>
                <c:pt idx="6">
                  <c:v>1.0518590682683819E-3</c:v>
                </c:pt>
                <c:pt idx="7">
                  <c:v>1.4495254113483002E-3</c:v>
                </c:pt>
                <c:pt idx="8">
                  <c:v>2.1877739461767997E-3</c:v>
                </c:pt>
                <c:pt idx="9">
                  <c:v>3.5803989844266368E-3</c:v>
                </c:pt>
                <c:pt idx="10">
                  <c:v>6.2072109658149891E-3</c:v>
                </c:pt>
                <c:pt idx="11">
                  <c:v>1.1119280031415893E-2</c:v>
                </c:pt>
                <c:pt idx="12">
                  <c:v>2.0188037502390867E-2</c:v>
                </c:pt>
              </c:numCache>
            </c:numRef>
          </c:yVal>
          <c:smooth val="1"/>
        </c:ser>
        <c:ser>
          <c:idx val="0"/>
          <c:order val="1"/>
          <c:tx>
            <c:v>Schaufele</c:v>
          </c:tx>
          <c:marker>
            <c:symbol val="none"/>
          </c:marker>
          <c:xVal>
            <c:numRef>
              <c:f>'Drag Rise'!$E$11:$E$23</c:f>
              <c:numCache>
                <c:formatCode>General</c:formatCode>
                <c:ptCount val="13"/>
                <c:pt idx="0">
                  <c:v>-0.3</c:v>
                </c:pt>
                <c:pt idx="1">
                  <c:v>-0.25</c:v>
                </c:pt>
                <c:pt idx="2">
                  <c:v>-0.2</c:v>
                </c:pt>
                <c:pt idx="3">
                  <c:v>-0.1</c:v>
                </c:pt>
                <c:pt idx="4">
                  <c:v>-0.05</c:v>
                </c:pt>
                <c:pt idx="5">
                  <c:v>-0.03</c:v>
                </c:pt>
                <c:pt idx="6">
                  <c:v>-0.02</c:v>
                </c:pt>
                <c:pt idx="7">
                  <c:v>-0.01</c:v>
                </c:pt>
                <c:pt idx="8">
                  <c:v>0</c:v>
                </c:pt>
                <c:pt idx="9">
                  <c:v>0.01</c:v>
                </c:pt>
                <c:pt idx="10">
                  <c:v>0.02</c:v>
                </c:pt>
                <c:pt idx="11">
                  <c:v>0.03</c:v>
                </c:pt>
                <c:pt idx="12">
                  <c:v>0.04</c:v>
                </c:pt>
              </c:numCache>
            </c:numRef>
          </c:xVal>
          <c:yVal>
            <c:numRef>
              <c:f>'Drag Rise'!$F$11:$F$23</c:f>
              <c:numCache>
                <c:formatCode>0.0000</c:formatCode>
                <c:ptCount val="13"/>
                <c:pt idx="0">
                  <c:v>0</c:v>
                </c:pt>
                <c:pt idx="1">
                  <c:v>0</c:v>
                </c:pt>
                <c:pt idx="2">
                  <c:v>2.0000000000000001E-4</c:v>
                </c:pt>
                <c:pt idx="3">
                  <c:v>4.8500000000000003E-4</c:v>
                </c:pt>
                <c:pt idx="4">
                  <c:v>6.9999999999999999E-4</c:v>
                </c:pt>
                <c:pt idx="5">
                  <c:v>8.9999999999999998E-4</c:v>
                </c:pt>
                <c:pt idx="6">
                  <c:v>1.0499999999999999E-3</c:v>
                </c:pt>
                <c:pt idx="7">
                  <c:v>1.245E-3</c:v>
                </c:pt>
                <c:pt idx="8">
                  <c:v>1.6000000000000001E-3</c:v>
                </c:pt>
                <c:pt idx="9">
                  <c:v>2.745E-3</c:v>
                </c:pt>
                <c:pt idx="10">
                  <c:v>5.45E-3</c:v>
                </c:pt>
                <c:pt idx="11">
                  <c:v>1.0500000000000001E-2</c:v>
                </c:pt>
                <c:pt idx="12">
                  <c:v>0.02</c:v>
                </c:pt>
              </c:numCache>
            </c:numRef>
          </c:yVal>
          <c:smooth val="1"/>
        </c:ser>
        <c:ser>
          <c:idx val="1"/>
          <c:order val="2"/>
          <c:tx>
            <c:v>Lock's 4th Power</c:v>
          </c:tx>
          <c:marker>
            <c:symbol val="none"/>
          </c:marker>
          <c:xVal>
            <c:numRef>
              <c:f>'Drag Rise'!$E$11:$E$23</c:f>
              <c:numCache>
                <c:formatCode>General</c:formatCode>
                <c:ptCount val="13"/>
                <c:pt idx="0">
                  <c:v>-0.3</c:v>
                </c:pt>
                <c:pt idx="1">
                  <c:v>-0.25</c:v>
                </c:pt>
                <c:pt idx="2">
                  <c:v>-0.2</c:v>
                </c:pt>
                <c:pt idx="3">
                  <c:v>-0.1</c:v>
                </c:pt>
                <c:pt idx="4">
                  <c:v>-0.05</c:v>
                </c:pt>
                <c:pt idx="5">
                  <c:v>-0.03</c:v>
                </c:pt>
                <c:pt idx="6">
                  <c:v>-0.02</c:v>
                </c:pt>
                <c:pt idx="7">
                  <c:v>-0.01</c:v>
                </c:pt>
                <c:pt idx="8">
                  <c:v>0</c:v>
                </c:pt>
                <c:pt idx="9">
                  <c:v>0.01</c:v>
                </c:pt>
                <c:pt idx="10">
                  <c:v>0.02</c:v>
                </c:pt>
                <c:pt idx="11">
                  <c:v>0.03</c:v>
                </c:pt>
                <c:pt idx="12">
                  <c:v>0.04</c:v>
                </c:pt>
              </c:numCache>
            </c:numRef>
          </c:xVal>
          <c:yVal>
            <c:numRef>
              <c:f>'Drag Rise'!$H$11:$H$23</c:f>
              <c:numCache>
                <c:formatCode>General</c:formatCode>
                <c:ptCount val="13"/>
                <c:pt idx="0">
                  <c:v>0</c:v>
                </c:pt>
                <c:pt idx="1">
                  <c:v>0</c:v>
                </c:pt>
                <c:pt idx="2">
                  <c:v>0</c:v>
                </c:pt>
                <c:pt idx="3">
                  <c:v>8.1919999999999717E-8</c:v>
                </c:pt>
                <c:pt idx="4">
                  <c:v>2.2632991999999992E-4</c:v>
                </c:pt>
                <c:pt idx="5">
                  <c:v>7.4030111999999991E-4</c:v>
                </c:pt>
                <c:pt idx="6">
                  <c:v>1.1993907199999998E-3</c:v>
                </c:pt>
                <c:pt idx="7">
                  <c:v>1.8447363200000005E-3</c:v>
                </c:pt>
                <c:pt idx="8">
                  <c:v>2.7209779199999992E-3</c:v>
                </c:pt>
                <c:pt idx="9">
                  <c:v>3.8775555199999996E-3</c:v>
                </c:pt>
                <c:pt idx="10">
                  <c:v>5.3687091199999997E-3</c:v>
                </c:pt>
                <c:pt idx="11">
                  <c:v>7.2534787200000022E-3</c:v>
                </c:pt>
                <c:pt idx="12">
                  <c:v>9.595704319999997E-3</c:v>
                </c:pt>
              </c:numCache>
            </c:numRef>
          </c:yVal>
          <c:smooth val="1"/>
        </c:ser>
        <c:dLbls>
          <c:showLegendKey val="0"/>
          <c:showVal val="0"/>
          <c:showCatName val="0"/>
          <c:showSerName val="0"/>
          <c:showPercent val="0"/>
          <c:showBubbleSize val="0"/>
        </c:dLbls>
        <c:axId val="517095056"/>
        <c:axId val="517095448"/>
      </c:scatterChart>
      <c:valAx>
        <c:axId val="517095056"/>
        <c:scaling>
          <c:orientation val="minMax"/>
          <c:max val="0.05"/>
          <c:min val="-0.30000000000000032"/>
        </c:scaling>
        <c:delete val="0"/>
        <c:axPos val="b"/>
        <c:majorGridlines/>
        <c:title>
          <c:tx>
            <c:rich>
              <a:bodyPr/>
              <a:lstStyle/>
              <a:p>
                <a:pPr>
                  <a:defRPr/>
                </a:pPr>
                <a:r>
                  <a:rPr lang="en-US"/>
                  <a:t>M-</a:t>
                </a:r>
                <a:r>
                  <a:rPr lang="en-US" baseline="0"/>
                  <a:t>M</a:t>
                </a:r>
                <a:r>
                  <a:rPr lang="en-US" baseline="-25000"/>
                  <a:t>DD</a:t>
                </a:r>
              </a:p>
            </c:rich>
          </c:tx>
          <c:layout/>
          <c:overlay val="0"/>
        </c:title>
        <c:numFmt formatCode="General" sourceLinked="1"/>
        <c:majorTickMark val="none"/>
        <c:minorTickMark val="none"/>
        <c:tickLblPos val="nextTo"/>
        <c:crossAx val="517095448"/>
        <c:crossesAt val="0"/>
        <c:crossBetween val="midCat"/>
      </c:valAx>
      <c:valAx>
        <c:axId val="517095448"/>
        <c:scaling>
          <c:orientation val="minMax"/>
          <c:max val="2.0000000000000004E-2"/>
        </c:scaling>
        <c:delete val="0"/>
        <c:axPos val="l"/>
        <c:majorGridlines/>
        <c:title>
          <c:tx>
            <c:rich>
              <a:bodyPr/>
              <a:lstStyle/>
              <a:p>
                <a:pPr>
                  <a:defRPr/>
                </a:pPr>
                <a:r>
                  <a:rPr lang="en-US"/>
                  <a:t>Compressibility</a:t>
                </a:r>
                <a:r>
                  <a:rPr lang="en-US" baseline="0"/>
                  <a:t> Drag Coeff, </a:t>
                </a:r>
                <a:r>
                  <a:rPr lang="en-US"/>
                  <a:t>C</a:t>
                </a:r>
                <a:r>
                  <a:rPr lang="en-US" baseline="-25000"/>
                  <a:t>DC</a:t>
                </a:r>
              </a:p>
            </c:rich>
          </c:tx>
          <c:layout/>
          <c:overlay val="0"/>
        </c:title>
        <c:numFmt formatCode="0.0000" sourceLinked="1"/>
        <c:majorTickMark val="none"/>
        <c:minorTickMark val="none"/>
        <c:tickLblPos val="nextTo"/>
        <c:crossAx val="517095056"/>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78955806920074079"/>
          <c:y val="0.41948814176401877"/>
          <c:w val="0.16686185165940551"/>
          <c:h val="0.15827498940941767"/>
        </c:manualLayout>
      </c:layout>
      <c:overlay val="1"/>
      <c:spPr>
        <a:ln>
          <a:solidFill>
            <a:schemeClr val="bg1"/>
          </a:solidFill>
        </a:ln>
      </c:spPr>
    </c:legend>
    <c:plotVisOnly val="1"/>
    <c:dispBlanksAs val="gap"/>
    <c:showDLblsOverMax val="0"/>
  </c:chart>
  <c:spPr>
    <a:ln w="22225"/>
    <a:effectLst>
      <a:outerShdw blurRad="50800" dist="38100" dir="2700000" algn="tl" rotWithShape="0">
        <a:prstClr val="black">
          <a:alpha val="40000"/>
        </a:prstClr>
      </a:outerShdw>
    </a:effectLst>
  </c:spPr>
  <c:printSettings>
    <c:headerFooter/>
    <c:pageMargins b="0.75000000000000189" l="0.70000000000000062" r="0.70000000000000062" t="0.75000000000000189"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t>
            </a:r>
            <a:r>
              <a:rPr lang="en-US" baseline="-25000"/>
              <a:t>D</a:t>
            </a:r>
            <a:r>
              <a:rPr lang="en-US"/>
              <a:t> versus Mach Number</a:t>
            </a:r>
          </a:p>
        </c:rich>
      </c:tx>
      <c:layout/>
      <c:overlay val="0"/>
    </c:title>
    <c:autoTitleDeleted val="0"/>
    <c:plotArea>
      <c:layout/>
      <c:scatterChart>
        <c:scatterStyle val="smoothMarker"/>
        <c:varyColors val="0"/>
        <c:ser>
          <c:idx val="0"/>
          <c:order val="0"/>
          <c:tx>
            <c:v>CL = 0</c:v>
          </c:tx>
          <c:marker>
            <c:symbol val="none"/>
          </c:marker>
          <c:xVal>
            <c:numRef>
              <c:f>'HS Drag Map '!$D$76:$AB$76</c:f>
              <c:numCache>
                <c:formatCode>0.00</c:formatCode>
                <c:ptCount val="25"/>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pt idx="23">
                  <c:v>0.94</c:v>
                </c:pt>
                <c:pt idx="24">
                  <c:v>0.95</c:v>
                </c:pt>
              </c:numCache>
            </c:numRef>
          </c:xVal>
          <c:yVal>
            <c:numRef>
              <c:f>'HS Drag Map '!$D$77:$Y$77</c:f>
              <c:numCache>
                <c:formatCode>General</c:formatCode>
                <c:ptCount val="22"/>
                <c:pt idx="0">
                  <c:v>1.4999999999999999E-2</c:v>
                </c:pt>
                <c:pt idx="1">
                  <c:v>1.4999999999999999E-2</c:v>
                </c:pt>
                <c:pt idx="2">
                  <c:v>1.5000720484204673E-2</c:v>
                </c:pt>
                <c:pt idx="3">
                  <c:v>1.5080999492825294E-2</c:v>
                </c:pt>
                <c:pt idx="4">
                  <c:v>1.5196133953763593E-2</c:v>
                </c:pt>
                <c:pt idx="5">
                  <c:v>1.5226675727683167E-2</c:v>
                </c:pt>
                <c:pt idx="6">
                  <c:v>1.5259917325780343E-2</c:v>
                </c:pt>
                <c:pt idx="7">
                  <c:v>1.529595632894567E-2</c:v>
                </c:pt>
                <c:pt idx="8">
                  <c:v>1.5334927858612957E-2</c:v>
                </c:pt>
                <c:pt idx="9">
                  <c:v>1.5377064346920283E-2</c:v>
                </c:pt>
                <c:pt idx="10">
                  <c:v>1.542283453436274E-2</c:v>
                </c:pt>
                <c:pt idx="11">
                  <c:v>1.5473254500126293E-2</c:v>
                </c:pt>
                <c:pt idx="12">
                  <c:v>1.5530559262329624E-2</c:v>
                </c:pt>
                <c:pt idx="13">
                  <c:v>1.5599606106474949E-2</c:v>
                </c:pt>
                <c:pt idx="14">
                  <c:v>1.5690719547706362E-2</c:v>
                </c:pt>
                <c:pt idx="15">
                  <c:v>1.5825300224373662E-2</c:v>
                </c:pt>
                <c:pt idx="16">
                  <c:v>1.6046601186958352E-2</c:v>
                </c:pt>
                <c:pt idx="17">
                  <c:v>1.6439942488795222E-2</c:v>
                </c:pt>
                <c:pt idx="18">
                  <c:v>1.716979573587233E-2</c:v>
                </c:pt>
                <c:pt idx="19">
                  <c:v>1.8546420087932912E-2</c:v>
                </c:pt>
                <c:pt idx="20">
                  <c:v>2.1143299093708323E-2</c:v>
                </c:pt>
                <c:pt idx="21">
                  <c:v>2.6000383372823125E-2</c:v>
                </c:pt>
              </c:numCache>
            </c:numRef>
          </c:yVal>
          <c:smooth val="1"/>
        </c:ser>
        <c:ser>
          <c:idx val="2"/>
          <c:order val="1"/>
          <c:tx>
            <c:v>CL = 0.1</c:v>
          </c:tx>
          <c:marker>
            <c:symbol val="none"/>
          </c:marker>
          <c:xVal>
            <c:numRef>
              <c:f>'HS Drag Map '!$D$76:$AB$76</c:f>
              <c:numCache>
                <c:formatCode>0.00</c:formatCode>
                <c:ptCount val="25"/>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pt idx="23">
                  <c:v>0.94</c:v>
                </c:pt>
                <c:pt idx="24">
                  <c:v>0.95</c:v>
                </c:pt>
              </c:numCache>
            </c:numRef>
          </c:xVal>
          <c:yVal>
            <c:numRef>
              <c:f>'HS Drag Map '!$D$79:$V$79</c:f>
              <c:numCache>
                <c:formatCode>General</c:formatCode>
                <c:ptCount val="19"/>
                <c:pt idx="0">
                  <c:v>1.7127633214804008E-2</c:v>
                </c:pt>
                <c:pt idx="1">
                  <c:v>1.7127633214804008E-2</c:v>
                </c:pt>
                <c:pt idx="2">
                  <c:v>1.7135752241217224E-2</c:v>
                </c:pt>
                <c:pt idx="3">
                  <c:v>1.7268355340589816E-2</c:v>
                </c:pt>
                <c:pt idx="4">
                  <c:v>1.7420340311635987E-2</c:v>
                </c:pt>
                <c:pt idx="5">
                  <c:v>1.7459049541284011E-2</c:v>
                </c:pt>
                <c:pt idx="6">
                  <c:v>1.7500896946912439E-2</c:v>
                </c:pt>
                <c:pt idx="7">
                  <c:v>1.7546321768025206E-2</c:v>
                </c:pt>
                <c:pt idx="8">
                  <c:v>1.7596272852256969E-2</c:v>
                </c:pt>
                <c:pt idx="9">
                  <c:v>1.7652837599007976E-2</c:v>
                </c:pt>
                <c:pt idx="10">
                  <c:v>1.7720559773894112E-2</c:v>
                </c:pt>
                <c:pt idx="11">
                  <c:v>1.7809117886695966E-2</c:v>
                </c:pt>
                <c:pt idx="12">
                  <c:v>1.7938618035235786E-2</c:v>
                </c:pt>
                <c:pt idx="13">
                  <c:v>1.8149785042287231E-2</c:v>
                </c:pt>
                <c:pt idx="14">
                  <c:v>1.8523117920807054E-2</c:v>
                </c:pt>
                <c:pt idx="15">
                  <c:v>1.9214097339676085E-2</c:v>
                </c:pt>
                <c:pt idx="16">
                  <c:v>2.0516559506730765E-2</c:v>
                </c:pt>
                <c:pt idx="17">
                  <c:v>2.2974566835649655E-2</c:v>
                </c:pt>
                <c:pt idx="18">
                  <c:v>2.7576314615140318E-2</c:v>
                </c:pt>
              </c:numCache>
            </c:numRef>
          </c:yVal>
          <c:smooth val="1"/>
        </c:ser>
        <c:ser>
          <c:idx val="4"/>
          <c:order val="2"/>
          <c:tx>
            <c:v>CL = 0.2</c:v>
          </c:tx>
          <c:marker>
            <c:symbol val="none"/>
          </c:marker>
          <c:xVal>
            <c:numRef>
              <c:f>'HS Drag Map '!$D$76:$Z$76</c:f>
              <c:numCache>
                <c:formatCode>0.00</c:formatCode>
                <c:ptCount val="23"/>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pt idx="19">
                  <c:v>0.9</c:v>
                </c:pt>
                <c:pt idx="20">
                  <c:v>0.91</c:v>
                </c:pt>
                <c:pt idx="21">
                  <c:v>0.92</c:v>
                </c:pt>
                <c:pt idx="22">
                  <c:v>0.93</c:v>
                </c:pt>
              </c:numCache>
            </c:numRef>
          </c:xVal>
          <c:yVal>
            <c:numRef>
              <c:f>'HS Drag Map '!$D$81:$U$81</c:f>
              <c:numCache>
                <c:formatCode>General</c:formatCode>
                <c:ptCount val="18"/>
                <c:pt idx="0">
                  <c:v>1.9787174733309019E-2</c:v>
                </c:pt>
                <c:pt idx="1">
                  <c:v>1.9787174733309019E-2</c:v>
                </c:pt>
                <c:pt idx="2">
                  <c:v>1.9803128975753349E-2</c:v>
                </c:pt>
                <c:pt idx="3">
                  <c:v>1.996540176745747E-2</c:v>
                </c:pt>
                <c:pt idx="4">
                  <c:v>2.0137286121664166E-2</c:v>
                </c:pt>
                <c:pt idx="5">
                  <c:v>2.0180690903561394E-2</c:v>
                </c:pt>
                <c:pt idx="6">
                  <c:v>2.0228015919249134E-2</c:v>
                </c:pt>
                <c:pt idx="7">
                  <c:v>2.0280621141469016E-2</c:v>
                </c:pt>
                <c:pt idx="8">
                  <c:v>2.0341490530954472E-2</c:v>
                </c:pt>
                <c:pt idx="9">
                  <c:v>2.041706031194879E-2</c:v>
                </c:pt>
                <c:pt idx="10">
                  <c:v>2.0520886465753594E-2</c:v>
                </c:pt>
                <c:pt idx="11">
                  <c:v>2.0680804976351563E-2</c:v>
                </c:pt>
                <c:pt idx="12">
                  <c:v>2.0952564737515167E-2</c:v>
                </c:pt>
                <c:pt idx="13">
                  <c:v>2.1445186494502007E-2</c:v>
                </c:pt>
                <c:pt idx="14">
                  <c:v>2.2367121837111283E-2</c:v>
                </c:pt>
                <c:pt idx="15">
                  <c:v>2.4108590191421954E-2</c:v>
                </c:pt>
                <c:pt idx="16">
                  <c:v>2.7385696490330482E-2</c:v>
                </c:pt>
                <c:pt idx="17">
                  <c:v>3.3488253138463125E-2</c:v>
                </c:pt>
              </c:numCache>
            </c:numRef>
          </c:yVal>
          <c:smooth val="1"/>
        </c:ser>
        <c:ser>
          <c:idx val="5"/>
          <c:order val="3"/>
          <c:tx>
            <c:v>CL = 0.3</c:v>
          </c:tx>
          <c:marker>
            <c:symbol val="none"/>
          </c:marker>
          <c:xVal>
            <c:numRef>
              <c:f>'HS Drag Map '!$D$76:$V$76</c:f>
              <c:numCache>
                <c:formatCode>0.00</c:formatCode>
                <c:ptCount val="19"/>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numCache>
            </c:numRef>
          </c:xVal>
          <c:yVal>
            <c:numRef>
              <c:f>'HS Drag Map '!$D$83:$T$83</c:f>
              <c:numCache>
                <c:formatCode>General</c:formatCode>
                <c:ptCount val="17"/>
                <c:pt idx="0">
                  <c:v>2.3510532859216036E-2</c:v>
                </c:pt>
                <c:pt idx="1">
                  <c:v>2.3510532859216036E-2</c:v>
                </c:pt>
                <c:pt idx="2">
                  <c:v>2.3537672570089756E-2</c:v>
                </c:pt>
                <c:pt idx="3">
                  <c:v>2.3731703208586769E-2</c:v>
                </c:pt>
                <c:pt idx="4">
                  <c:v>2.3925109025849985E-2</c:v>
                </c:pt>
                <c:pt idx="5">
                  <c:v>2.3974606253391543E-2</c:v>
                </c:pt>
                <c:pt idx="6">
                  <c:v>2.4030463793346848E-2</c:v>
                </c:pt>
                <c:pt idx="7">
                  <c:v>2.4096931411828979E-2</c:v>
                </c:pt>
                <c:pt idx="8">
                  <c:v>2.418308029928682E-2</c:v>
                </c:pt>
                <c:pt idx="9">
                  <c:v>2.4307796692184205E-2</c:v>
                </c:pt>
                <c:pt idx="10">
                  <c:v>2.4509417875691806E-2</c:v>
                </c:pt>
                <c:pt idx="11">
                  <c:v>2.4863880940545362E-2</c:v>
                </c:pt>
                <c:pt idx="12">
                  <c:v>2.5518142898547341E-2</c:v>
                </c:pt>
                <c:pt idx="13">
                  <c:v>2.6750443252437389E-2</c:v>
                </c:pt>
                <c:pt idx="14">
                  <c:v>2.907685759853371E-2</c:v>
                </c:pt>
                <c:pt idx="15">
                  <c:v>3.3436273168153147E-2</c:v>
                </c:pt>
                <c:pt idx="16">
                  <c:v>4.1506020620238976E-2</c:v>
                </c:pt>
              </c:numCache>
            </c:numRef>
          </c:yVal>
          <c:smooth val="1"/>
        </c:ser>
        <c:ser>
          <c:idx val="6"/>
          <c:order val="4"/>
          <c:tx>
            <c:v>CL = 0.4</c:v>
          </c:tx>
          <c:marker>
            <c:symbol val="none"/>
          </c:marker>
          <c:xVal>
            <c:numRef>
              <c:f>'HS Drag Map '!$D$76:$V$76</c:f>
              <c:numCache>
                <c:formatCode>0.00</c:formatCode>
                <c:ptCount val="19"/>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pt idx="18">
                  <c:v>0.89</c:v>
                </c:pt>
              </c:numCache>
            </c:numRef>
          </c:xVal>
          <c:yVal>
            <c:numRef>
              <c:f>'HS Drag Map '!$D$85:$R$85</c:f>
              <c:numCache>
                <c:formatCode>General</c:formatCode>
                <c:ptCount val="15"/>
                <c:pt idx="0">
                  <c:v>2.8297707592525052E-2</c:v>
                </c:pt>
                <c:pt idx="1">
                  <c:v>2.8297707592525052E-2</c:v>
                </c:pt>
                <c:pt idx="2">
                  <c:v>2.8339760130753108E-2</c:v>
                </c:pt>
                <c:pt idx="3">
                  <c:v>2.8567518207773982E-2</c:v>
                </c:pt>
                <c:pt idx="4">
                  <c:v>2.8786309118412935E-2</c:v>
                </c:pt>
                <c:pt idx="5">
                  <c:v>2.8846271905129176E-2</c:v>
                </c:pt>
                <c:pt idx="6">
                  <c:v>2.8920163080462725E-2</c:v>
                </c:pt>
                <c:pt idx="7">
                  <c:v>2.9020700824436314E-2</c:v>
                </c:pt>
                <c:pt idx="8">
                  <c:v>2.9174058512802248E-2</c:v>
                </c:pt>
                <c:pt idx="9">
                  <c:v>2.9432767173585332E-2</c:v>
                </c:pt>
                <c:pt idx="10">
                  <c:v>2.9899762788813695E-2</c:v>
                </c:pt>
                <c:pt idx="11">
                  <c:v>3.0772237830933906E-2</c:v>
                </c:pt>
                <c:pt idx="12">
                  <c:v>3.2419995843392856E-2</c:v>
                </c:pt>
                <c:pt idx="13">
                  <c:v>3.5522817727291038E-2</c:v>
                </c:pt>
                <c:pt idx="14">
                  <c:v>4.1307028242398153E-2</c:v>
                </c:pt>
              </c:numCache>
            </c:numRef>
          </c:yVal>
          <c:smooth val="1"/>
        </c:ser>
        <c:ser>
          <c:idx val="7"/>
          <c:order val="5"/>
          <c:tx>
            <c:v>CL = 0.5</c:v>
          </c:tx>
          <c:marker>
            <c:symbol val="none"/>
          </c:marker>
          <c:xVal>
            <c:numRef>
              <c:f>'HS Drag Map '!$D$76:$U$76</c:f>
              <c:numCache>
                <c:formatCode>0.00</c:formatCode>
                <c:ptCount val="18"/>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pt idx="16">
                  <c:v>0.87</c:v>
                </c:pt>
                <c:pt idx="17">
                  <c:v>0.88</c:v>
                </c:pt>
              </c:numCache>
            </c:numRef>
          </c:xVal>
          <c:yVal>
            <c:numRef>
              <c:f>'HS Drag Map '!$D$87:$P$87</c:f>
              <c:numCache>
                <c:formatCode>General</c:formatCode>
                <c:ptCount val="13"/>
                <c:pt idx="0">
                  <c:v>3.4148698933236077E-2</c:v>
                </c:pt>
                <c:pt idx="1">
                  <c:v>3.4148698933236077E-2</c:v>
                </c:pt>
                <c:pt idx="2">
                  <c:v>3.4209733765262887E-2</c:v>
                </c:pt>
                <c:pt idx="3">
                  <c:v>3.447316288626058E-2</c:v>
                </c:pt>
                <c:pt idx="4">
                  <c:v>3.4728712645093938E-2</c:v>
                </c:pt>
                <c:pt idx="5">
                  <c:v>3.4812589510455835E-2</c:v>
                </c:pt>
                <c:pt idx="6">
                  <c:v>3.493280145552486E-2</c:v>
                </c:pt>
                <c:pt idx="7">
                  <c:v>3.5125431498824293E-2</c:v>
                </c:pt>
                <c:pt idx="8">
                  <c:v>3.5462100730707311E-2</c:v>
                </c:pt>
                <c:pt idx="9">
                  <c:v>3.6081686776766035E-2</c:v>
                </c:pt>
                <c:pt idx="10">
                  <c:v>3.7247619301592538E-2</c:v>
                </c:pt>
                <c:pt idx="11">
                  <c:v>3.9449355165914878E-2</c:v>
                </c:pt>
                <c:pt idx="12">
                  <c:v>4.3578811212023227E-2</c:v>
                </c:pt>
              </c:numCache>
            </c:numRef>
          </c:yVal>
          <c:smooth val="1"/>
        </c:ser>
        <c:ser>
          <c:idx val="8"/>
          <c:order val="6"/>
          <c:tx>
            <c:v>CL = 0.6</c:v>
          </c:tx>
          <c:marker>
            <c:symbol val="none"/>
          </c:marker>
          <c:xVal>
            <c:numRef>
              <c:f>'HS Drag Map '!$D$76:$S$76</c:f>
              <c:numCache>
                <c:formatCode>0.00</c:formatCode>
                <c:ptCount val="16"/>
                <c:pt idx="0" formatCode="General">
                  <c:v>0</c:v>
                </c:pt>
                <c:pt idx="1">
                  <c:v>0.5</c:v>
                </c:pt>
                <c:pt idx="2">
                  <c:v>0.6</c:v>
                </c:pt>
                <c:pt idx="3">
                  <c:v>0.7</c:v>
                </c:pt>
                <c:pt idx="4">
                  <c:v>0.75</c:v>
                </c:pt>
                <c:pt idx="5">
                  <c:v>0.76</c:v>
                </c:pt>
                <c:pt idx="6">
                  <c:v>0.77</c:v>
                </c:pt>
                <c:pt idx="7">
                  <c:v>0.78</c:v>
                </c:pt>
                <c:pt idx="8">
                  <c:v>0.79</c:v>
                </c:pt>
                <c:pt idx="9">
                  <c:v>0.8</c:v>
                </c:pt>
                <c:pt idx="10">
                  <c:v>0.81</c:v>
                </c:pt>
                <c:pt idx="11">
                  <c:v>0.82</c:v>
                </c:pt>
                <c:pt idx="12">
                  <c:v>0.83</c:v>
                </c:pt>
                <c:pt idx="13">
                  <c:v>0.84</c:v>
                </c:pt>
                <c:pt idx="14">
                  <c:v>0.85</c:v>
                </c:pt>
                <c:pt idx="15">
                  <c:v>0.86</c:v>
                </c:pt>
              </c:numCache>
            </c:numRef>
          </c:xVal>
          <c:yVal>
            <c:numRef>
              <c:f>'HS Drag Map '!$D$89:$N$89</c:f>
              <c:numCache>
                <c:formatCode>General</c:formatCode>
                <c:ptCount val="11"/>
                <c:pt idx="0">
                  <c:v>4.1063506881349104E-2</c:v>
                </c:pt>
                <c:pt idx="1">
                  <c:v>4.1064441574507761E-2</c:v>
                </c:pt>
                <c:pt idx="2">
                  <c:v>4.1147908862358376E-2</c:v>
                </c:pt>
                <c:pt idx="3">
                  <c:v>4.1449213305913508E-2</c:v>
                </c:pt>
                <c:pt idx="4">
                  <c:v>4.1776165727855884E-2</c:v>
                </c:pt>
                <c:pt idx="5">
                  <c:v>4.192334577766995E-2</c:v>
                </c:pt>
                <c:pt idx="6">
                  <c:v>4.2169756065937217E-2</c:v>
                </c:pt>
                <c:pt idx="7">
                  <c:v>4.2612570775797422E-2</c:v>
                </c:pt>
                <c:pt idx="8">
                  <c:v>4.3438301369373822E-2</c:v>
                </c:pt>
                <c:pt idx="9">
                  <c:v>4.4997350644505538E-2</c:v>
                </c:pt>
                <c:pt idx="10">
                  <c:v>4.7934926259968674E-2</c:v>
                </c:pt>
              </c:numCache>
            </c:numRef>
          </c:yVal>
          <c:smooth val="1"/>
        </c:ser>
        <c:dLbls>
          <c:showLegendKey val="0"/>
          <c:showVal val="0"/>
          <c:showCatName val="0"/>
          <c:showSerName val="0"/>
          <c:showPercent val="0"/>
          <c:showBubbleSize val="0"/>
        </c:dLbls>
        <c:axId val="517096232"/>
        <c:axId val="517096624"/>
      </c:scatterChart>
      <c:valAx>
        <c:axId val="517096232"/>
        <c:scaling>
          <c:orientation val="minMax"/>
          <c:max val="0.95000000000000007"/>
          <c:min val="0.5"/>
        </c:scaling>
        <c:delete val="0"/>
        <c:axPos val="b"/>
        <c:majorGridlines/>
        <c:title>
          <c:tx>
            <c:rich>
              <a:bodyPr/>
              <a:lstStyle/>
              <a:p>
                <a:pPr>
                  <a:defRPr/>
                </a:pPr>
                <a:r>
                  <a:rPr lang="en-US"/>
                  <a:t>Mach Number</a:t>
                </a:r>
              </a:p>
            </c:rich>
          </c:tx>
          <c:layout/>
          <c:overlay val="0"/>
        </c:title>
        <c:numFmt formatCode="General" sourceLinked="1"/>
        <c:majorTickMark val="none"/>
        <c:minorTickMark val="none"/>
        <c:tickLblPos val="nextTo"/>
        <c:crossAx val="517096624"/>
        <c:crosses val="autoZero"/>
        <c:crossBetween val="midCat"/>
      </c:valAx>
      <c:valAx>
        <c:axId val="517096624"/>
        <c:scaling>
          <c:orientation val="minMax"/>
          <c:max val="5.000000000000001E-2"/>
          <c:min val="1.0000000000000002E-2"/>
        </c:scaling>
        <c:delete val="0"/>
        <c:axPos val="l"/>
        <c:majorGridlines/>
        <c:minorGridlines/>
        <c:title>
          <c:tx>
            <c:rich>
              <a:bodyPr/>
              <a:lstStyle/>
              <a:p>
                <a:pPr>
                  <a:defRPr/>
                </a:pPr>
                <a:r>
                  <a:rPr lang="en-US"/>
                  <a:t>Airplance Drag Coefficnet</a:t>
                </a:r>
              </a:p>
            </c:rich>
          </c:tx>
          <c:layout/>
          <c:overlay val="0"/>
        </c:title>
        <c:numFmt formatCode="#,##0.0000" sourceLinked="0"/>
        <c:majorTickMark val="none"/>
        <c:minorTickMark val="none"/>
        <c:tickLblPos val="nextTo"/>
        <c:crossAx val="517096232"/>
        <c:crosses val="autoZero"/>
        <c:crossBetween val="midCat"/>
      </c:valAx>
    </c:plotArea>
    <c:legend>
      <c:legendPos val="r"/>
      <c:layout/>
      <c:overlay val="0"/>
    </c:legend>
    <c:plotVisOnly val="1"/>
    <c:dispBlanksAs val="gap"/>
    <c:showDLblsOverMax val="0"/>
  </c:chart>
  <c:spPr>
    <a:ln>
      <a:solidFill>
        <a:schemeClr val="tx1"/>
      </a:solidFill>
    </a:ln>
    <a:effectLst>
      <a:outerShdw blurRad="50800" dist="38100" dir="3300000" algn="tl" rotWithShape="0">
        <a:prstClr val="black">
          <a:alpha val="40000"/>
        </a:prstClr>
      </a:outerShdw>
    </a:effectLst>
  </c:spPr>
  <c:printSettings>
    <c:headerFooter/>
    <c:pageMargins b="0.750000000000001" l="0.70000000000000062" r="0.70000000000000062" t="0.750000000000001"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L/D</a:t>
            </a:r>
            <a:r>
              <a:rPr lang="en-US" baseline="0"/>
              <a:t> versus C</a:t>
            </a:r>
            <a:r>
              <a:rPr lang="en-US" baseline="-25000"/>
              <a:t>L</a:t>
            </a:r>
            <a:r>
              <a:rPr lang="en-US" baseline="0"/>
              <a:t>     </a:t>
            </a:r>
            <a:endParaRPr lang="en-US"/>
          </a:p>
        </c:rich>
      </c:tx>
      <c:layout/>
      <c:overlay val="0"/>
    </c:title>
    <c:autoTitleDeleted val="0"/>
    <c:plotArea>
      <c:layout/>
      <c:scatterChart>
        <c:scatterStyle val="smoothMarker"/>
        <c:varyColors val="0"/>
        <c:ser>
          <c:idx val="0"/>
          <c:order val="0"/>
          <c:tx>
            <c:v>M=0.50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'!$E$27:$E$41</c:f>
              <c:numCache>
                <c:formatCode>General</c:formatCode>
                <c:ptCount val="15"/>
                <c:pt idx="0">
                  <c:v>0</c:v>
                </c:pt>
                <c:pt idx="1">
                  <c:v>6.4383588960650524</c:v>
                </c:pt>
                <c:pt idx="2">
                  <c:v>11.677036604633329</c:v>
                </c:pt>
                <c:pt idx="3">
                  <c:v>13.642991477430336</c:v>
                </c:pt>
                <c:pt idx="4">
                  <c:v>15.161335766393712</c:v>
                </c:pt>
                <c:pt idx="5">
                  <c:v>16.267057324657952</c:v>
                </c:pt>
                <c:pt idx="6">
                  <c:v>17.013650962113417</c:v>
                </c:pt>
                <c:pt idx="7">
                  <c:v>17.461390726121333</c:v>
                </c:pt>
                <c:pt idx="8">
                  <c:v>17.669275801410745</c:v>
                </c:pt>
                <c:pt idx="9">
                  <c:v>17.690447045726749</c:v>
                </c:pt>
                <c:pt idx="10">
                  <c:v>17.570215520452376</c:v>
                </c:pt>
                <c:pt idx="11">
                  <c:v>17.345626856248696</c:v>
                </c:pt>
                <c:pt idx="12">
                  <c:v>17.046378159798241</c:v>
                </c:pt>
                <c:pt idx="13">
                  <c:v>16.69564694153345</c:v>
                </c:pt>
                <c:pt idx="14">
                  <c:v>16.311269250237505</c:v>
                </c:pt>
              </c:numCache>
            </c:numRef>
          </c:yVal>
          <c:smooth val="1"/>
        </c:ser>
        <c:ser>
          <c:idx val="2"/>
          <c:order val="1"/>
          <c:tx>
            <c:v>M=0.70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'!$G$27:$G$41</c:f>
              <c:numCache>
                <c:formatCode>General</c:formatCode>
                <c:ptCount val="15"/>
                <c:pt idx="0">
                  <c:v>0</c:v>
                </c:pt>
                <c:pt idx="1">
                  <c:v>6.393735416740892</c:v>
                </c:pt>
                <c:pt idx="2">
                  <c:v>11.581878879333324</c:v>
                </c:pt>
                <c:pt idx="3">
                  <c:v>13.525769001953153</c:v>
                </c:pt>
                <c:pt idx="4">
                  <c:v>15.025993641108883</c:v>
                </c:pt>
                <c:pt idx="5">
                  <c:v>16.117980043021678</c:v>
                </c:pt>
                <c:pt idx="6">
                  <c:v>16.855090276675519</c:v>
                </c:pt>
                <c:pt idx="7">
                  <c:v>17.297111604722254</c:v>
                </c:pt>
                <c:pt idx="8">
                  <c:v>17.502395425582915</c:v>
                </c:pt>
                <c:pt idx="9">
                  <c:v>17.523409363666914</c:v>
                </c:pt>
                <c:pt idx="10">
                  <c:v>17.404843355383917</c:v>
                </c:pt>
                <c:pt idx="11">
                  <c:v>17.183344095070812</c:v>
                </c:pt>
                <c:pt idx="12">
                  <c:v>16.888137172440178</c:v>
                </c:pt>
                <c:pt idx="13">
                  <c:v>16.542034552654435</c:v>
                </c:pt>
                <c:pt idx="14">
                  <c:v>16.162526807276038</c:v>
                </c:pt>
              </c:numCache>
            </c:numRef>
          </c:yVal>
          <c:smooth val="1"/>
        </c:ser>
        <c:ser>
          <c:idx val="5"/>
          <c:order val="2"/>
          <c:tx>
            <c:v>M=0.75</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'!$H$27:$H$41</c:f>
              <c:numCache>
                <c:formatCode>General</c:formatCode>
                <c:ptCount val="15"/>
                <c:pt idx="0">
                  <c:v>0</c:v>
                </c:pt>
                <c:pt idx="1">
                  <c:v>6.3397797559826028</c:v>
                </c:pt>
                <c:pt idx="2">
                  <c:v>11.480831971256565</c:v>
                </c:pt>
                <c:pt idx="3">
                  <c:v>13.408402313486148</c:v>
                </c:pt>
                <c:pt idx="4">
                  <c:v>14.897737370739989</c:v>
                </c:pt>
                <c:pt idx="5">
                  <c:v>15.983746169088537</c:v>
                </c:pt>
                <c:pt idx="6">
                  <c:v>16.718837083158881</c:v>
                </c:pt>
                <c:pt idx="7">
                  <c:v>17.161655654267705</c:v>
                </c:pt>
                <c:pt idx="8">
                  <c:v>17.369368123688318</c:v>
                </c:pt>
                <c:pt idx="9">
                  <c:v>17.393254474791974</c:v>
                </c:pt>
                <c:pt idx="10">
                  <c:v>17.276770553853538</c:v>
                </c:pt>
                <c:pt idx="11">
                  <c:v>17.055171659054068</c:v>
                </c:pt>
                <c:pt idx="12">
                  <c:v>16.755965699677596</c:v>
                </c:pt>
                <c:pt idx="13">
                  <c:v>16.399692041598975</c:v>
                </c:pt>
                <c:pt idx="14">
                  <c:v>16.000716336398618</c:v>
                </c:pt>
              </c:numCache>
            </c:numRef>
          </c:yVal>
          <c:smooth val="1"/>
        </c:ser>
        <c:ser>
          <c:idx val="8"/>
          <c:order val="3"/>
          <c:tx>
            <c:v>M=0.80</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'!$M$27:$M$41</c:f>
              <c:numCache>
                <c:formatCode>General</c:formatCode>
                <c:ptCount val="15"/>
                <c:pt idx="0">
                  <c:v>0</c:v>
                </c:pt>
                <c:pt idx="1">
                  <c:v>6.258962884570165</c:v>
                </c:pt>
                <c:pt idx="2">
                  <c:v>11.329623290209121</c:v>
                </c:pt>
                <c:pt idx="3">
                  <c:v>13.229314599246431</c:v>
                </c:pt>
                <c:pt idx="4">
                  <c:v>14.693594249923889</c:v>
                </c:pt>
                <c:pt idx="5">
                  <c:v>15.753452224274151</c:v>
                </c:pt>
                <c:pt idx="6">
                  <c:v>16.45562553716001</c:v>
                </c:pt>
                <c:pt idx="7">
                  <c:v>16.851259008850153</c:v>
                </c:pt>
                <c:pt idx="8">
                  <c:v>16.987869236050933</c:v>
                </c:pt>
                <c:pt idx="9">
                  <c:v>16.904435018594672</c:v>
                </c:pt>
                <c:pt idx="10">
                  <c:v>16.628934332037826</c:v>
                </c:pt>
                <c:pt idx="11">
                  <c:v>16.177716313713329</c:v>
                </c:pt>
                <c:pt idx="12">
                  <c:v>15.556471436068302</c:v>
                </c:pt>
                <c:pt idx="13">
                  <c:v>14.763026256459522</c:v>
                </c:pt>
                <c:pt idx="14">
                  <c:v>13.792496957530643</c:v>
                </c:pt>
              </c:numCache>
            </c:numRef>
          </c:yVal>
          <c:smooth val="1"/>
        </c:ser>
        <c:ser>
          <c:idx val="10"/>
          <c:order val="4"/>
          <c:tx>
            <c:v>M=0.82</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'!$O$27:$O$39</c:f>
              <c:numCache>
                <c:formatCode>General</c:formatCode>
                <c:ptCount val="13"/>
                <c:pt idx="0">
                  <c:v>0</c:v>
                </c:pt>
                <c:pt idx="1">
                  <c:v>6.2142360408636002</c:v>
                </c:pt>
                <c:pt idx="2">
                  <c:v>11.230202487985494</c:v>
                </c:pt>
                <c:pt idx="3">
                  <c:v>13.092867194018268</c:v>
                </c:pt>
                <c:pt idx="4">
                  <c:v>14.506205166725815</c:v>
                </c:pt>
                <c:pt idx="5">
                  <c:v>15.492583347839529</c:v>
                </c:pt>
                <c:pt idx="6">
                  <c:v>16.087593121785051</c:v>
                </c:pt>
                <c:pt idx="7">
                  <c:v>16.328816658441866</c:v>
                </c:pt>
                <c:pt idx="8">
                  <c:v>16.248412050727527</c:v>
                </c:pt>
                <c:pt idx="9">
                  <c:v>15.869921692502318</c:v>
                </c:pt>
                <c:pt idx="10">
                  <c:v>15.20937408169382</c:v>
                </c:pt>
                <c:pt idx="11">
                  <c:v>14.280648194484652</c:v>
                </c:pt>
                <c:pt idx="12">
                  <c:v>13.104483036708531</c:v>
                </c:pt>
              </c:numCache>
            </c:numRef>
          </c:yVal>
          <c:smooth val="1"/>
        </c:ser>
        <c:ser>
          <c:idx val="12"/>
          <c:order val="5"/>
          <c:tx>
            <c:v>M=0.84</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'!$Q$27:$Q$36</c:f>
              <c:numCache>
                <c:formatCode>General</c:formatCode>
                <c:ptCount val="10"/>
                <c:pt idx="0">
                  <c:v>0</c:v>
                </c:pt>
                <c:pt idx="1">
                  <c:v>6.1437339497686354</c:v>
                </c:pt>
                <c:pt idx="2">
                  <c:v>11.019414253888931</c:v>
                </c:pt>
                <c:pt idx="3">
                  <c:v>12.758097766422106</c:v>
                </c:pt>
                <c:pt idx="4">
                  <c:v>13.989153233846311</c:v>
                </c:pt>
                <c:pt idx="5">
                  <c:v>14.715165376763913</c:v>
                </c:pt>
                <c:pt idx="6">
                  <c:v>14.953023253682112</c:v>
                </c:pt>
                <c:pt idx="7">
                  <c:v>14.728193493115755</c:v>
                </c:pt>
                <c:pt idx="8">
                  <c:v>14.075459999781101</c:v>
                </c:pt>
                <c:pt idx="9">
                  <c:v>13.045237282830303</c:v>
                </c:pt>
              </c:numCache>
            </c:numRef>
          </c:yVal>
          <c:smooth val="1"/>
        </c:ser>
        <c:ser>
          <c:idx val="14"/>
          <c:order val="6"/>
          <c:tx>
            <c:v>M=0.86</c:v>
          </c:tx>
          <c:marker>
            <c:symbol val="none"/>
          </c:marker>
          <c:xVal>
            <c:numRef>
              <c:f>'HS Drag Map '!$B$27:$B$41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'!$S$27:$S$34</c:f>
              <c:numCache>
                <c:formatCode>General</c:formatCode>
                <c:ptCount val="8"/>
                <c:pt idx="0">
                  <c:v>0</c:v>
                </c:pt>
                <c:pt idx="1">
                  <c:v>5.9775575642720895</c:v>
                </c:pt>
                <c:pt idx="2">
                  <c:v>10.409023981939068</c:v>
                </c:pt>
                <c:pt idx="3">
                  <c:v>11.751461753498635</c:v>
                </c:pt>
                <c:pt idx="4">
                  <c:v>12.443697355092237</c:v>
                </c:pt>
                <c:pt idx="5">
                  <c:v>12.494600171942556</c:v>
                </c:pt>
                <c:pt idx="6">
                  <c:v>11.96305575051306</c:v>
                </c:pt>
                <c:pt idx="7">
                  <c:v>10.957261767108408</c:v>
                </c:pt>
              </c:numCache>
            </c:numRef>
          </c:yVal>
          <c:smooth val="1"/>
        </c:ser>
        <c:dLbls>
          <c:showLegendKey val="0"/>
          <c:showVal val="0"/>
          <c:showCatName val="0"/>
          <c:showSerName val="0"/>
          <c:showPercent val="0"/>
          <c:showBubbleSize val="0"/>
        </c:dLbls>
        <c:axId val="517098192"/>
        <c:axId val="517107600"/>
      </c:scatterChart>
      <c:valAx>
        <c:axId val="517098192"/>
        <c:scaling>
          <c:orientation val="minMax"/>
        </c:scaling>
        <c:delete val="0"/>
        <c:axPos val="b"/>
        <c:majorGridlines/>
        <c:title>
          <c:tx>
            <c:rich>
              <a:bodyPr/>
              <a:lstStyle/>
              <a:p>
                <a:pPr>
                  <a:defRPr/>
                </a:pPr>
                <a:r>
                  <a:rPr lang="en-US"/>
                  <a:t>Lift</a:t>
                </a:r>
                <a:r>
                  <a:rPr lang="en-US" baseline="0"/>
                  <a:t> Coefficient C</a:t>
                </a:r>
                <a:r>
                  <a:rPr lang="en-US" baseline="-25000"/>
                  <a:t>L</a:t>
                </a:r>
              </a:p>
            </c:rich>
          </c:tx>
          <c:layout/>
          <c:overlay val="0"/>
        </c:title>
        <c:numFmt formatCode="0.00" sourceLinked="1"/>
        <c:majorTickMark val="none"/>
        <c:minorTickMark val="none"/>
        <c:tickLblPos val="nextTo"/>
        <c:crossAx val="517107600"/>
        <c:crosses val="autoZero"/>
        <c:crossBetween val="midCat"/>
      </c:valAx>
      <c:valAx>
        <c:axId val="517107600"/>
        <c:scaling>
          <c:orientation val="minMax"/>
        </c:scaling>
        <c:delete val="0"/>
        <c:axPos val="l"/>
        <c:majorGridlines/>
        <c:title>
          <c:tx>
            <c:rich>
              <a:bodyPr/>
              <a:lstStyle/>
              <a:p>
                <a:pPr>
                  <a:defRPr/>
                </a:pPr>
                <a:r>
                  <a:rPr lang="en-US"/>
                  <a:t>L/D</a:t>
                </a:r>
              </a:p>
            </c:rich>
          </c:tx>
          <c:layout/>
          <c:overlay val="0"/>
        </c:title>
        <c:numFmt formatCode="General" sourceLinked="1"/>
        <c:majorTickMark val="none"/>
        <c:minorTickMark val="none"/>
        <c:tickLblPos val="nextTo"/>
        <c:crossAx val="517098192"/>
        <c:crosses val="autoZero"/>
        <c:crossBetween val="midCat"/>
      </c:valAx>
      <c:spPr>
        <a:noFill/>
      </c:spPr>
    </c:plotArea>
    <c:legend>
      <c:legendPos val="r"/>
      <c:layout/>
      <c:overlay val="0"/>
    </c:legend>
    <c:plotVisOnly val="1"/>
    <c:dispBlanksAs val="gap"/>
    <c:showDLblsOverMax val="0"/>
  </c:chart>
  <c:spPr>
    <a:ln>
      <a:solidFill>
        <a:schemeClr val="tx1"/>
      </a:solidFill>
    </a:ln>
    <a:effectLst>
      <a:outerShdw blurRad="50800" dist="38100" dir="3300000" algn="tl" rotWithShape="0">
        <a:prstClr val="black">
          <a:alpha val="40000"/>
        </a:prstClr>
      </a:outerShdw>
    </a:effectLst>
  </c:spPr>
  <c:printSettings>
    <c:headerFooter/>
    <c:pageMargins b="0.750000000000002" l="0.70000000000000062" r="0.70000000000000062" t="0.75000000000000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ML/D</a:t>
            </a:r>
            <a:r>
              <a:rPr lang="en-US" baseline="0"/>
              <a:t> versus C</a:t>
            </a:r>
            <a:r>
              <a:rPr lang="en-US" baseline="-25000"/>
              <a:t>L</a:t>
            </a:r>
            <a:r>
              <a:rPr lang="en-US" baseline="0"/>
              <a:t>     </a:t>
            </a:r>
            <a:endParaRPr lang="en-US"/>
          </a:p>
        </c:rich>
      </c:tx>
      <c:layout/>
      <c:overlay val="0"/>
    </c:title>
    <c:autoTitleDeleted val="0"/>
    <c:plotArea>
      <c:layout/>
      <c:scatterChart>
        <c:scatterStyle val="smoothMarker"/>
        <c:varyColors val="0"/>
        <c:ser>
          <c:idx val="8"/>
          <c:order val="0"/>
          <c:tx>
            <c:v>M=0.5</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'!$E$95:$E$109</c:f>
              <c:numCache>
                <c:formatCode>General</c:formatCode>
                <c:ptCount val="15"/>
                <c:pt idx="0">
                  <c:v>0</c:v>
                </c:pt>
                <c:pt idx="1">
                  <c:v>3.2191794480325262</c:v>
                </c:pt>
                <c:pt idx="2">
                  <c:v>5.8385183023166647</c:v>
                </c:pt>
                <c:pt idx="3">
                  <c:v>6.8214957387151678</c:v>
                </c:pt>
                <c:pt idx="4">
                  <c:v>7.5806678831968561</c:v>
                </c:pt>
                <c:pt idx="5">
                  <c:v>8.1335286623289758</c:v>
                </c:pt>
                <c:pt idx="6">
                  <c:v>8.5068254810567083</c:v>
                </c:pt>
                <c:pt idx="7">
                  <c:v>8.7306953630606667</c:v>
                </c:pt>
                <c:pt idx="8">
                  <c:v>8.8346379007053724</c:v>
                </c:pt>
                <c:pt idx="9">
                  <c:v>8.8452235228633747</c:v>
                </c:pt>
                <c:pt idx="10">
                  <c:v>8.7851077602261878</c:v>
                </c:pt>
                <c:pt idx="11">
                  <c:v>8.6728134281243481</c:v>
                </c:pt>
                <c:pt idx="12">
                  <c:v>8.5231890798991206</c:v>
                </c:pt>
                <c:pt idx="13">
                  <c:v>8.3478234707667252</c:v>
                </c:pt>
                <c:pt idx="14">
                  <c:v>8.1556346251187524</c:v>
                </c:pt>
              </c:numCache>
            </c:numRef>
          </c:yVal>
          <c:smooth val="1"/>
        </c:ser>
        <c:ser>
          <c:idx val="0"/>
          <c:order val="1"/>
          <c:tx>
            <c:v>M=0.7</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'!$G$95:$G$109</c:f>
              <c:numCache>
                <c:formatCode>General</c:formatCode>
                <c:ptCount val="15"/>
                <c:pt idx="0">
                  <c:v>0</c:v>
                </c:pt>
                <c:pt idx="1">
                  <c:v>4.4756147917186242</c:v>
                </c:pt>
                <c:pt idx="2">
                  <c:v>8.1073152155333261</c:v>
                </c:pt>
                <c:pt idx="3">
                  <c:v>9.4680383013672067</c:v>
                </c:pt>
                <c:pt idx="4">
                  <c:v>10.518195548776218</c:v>
                </c:pt>
                <c:pt idx="5">
                  <c:v>11.282586030115175</c:v>
                </c:pt>
                <c:pt idx="6">
                  <c:v>11.798563193672862</c:v>
                </c:pt>
                <c:pt idx="7">
                  <c:v>12.107978123305577</c:v>
                </c:pt>
                <c:pt idx="8">
                  <c:v>12.25167679790804</c:v>
                </c:pt>
                <c:pt idx="9">
                  <c:v>12.266386554566839</c:v>
                </c:pt>
                <c:pt idx="10">
                  <c:v>12.183390348768741</c:v>
                </c:pt>
                <c:pt idx="11">
                  <c:v>12.028340866549568</c:v>
                </c:pt>
                <c:pt idx="12">
                  <c:v>11.821696020708124</c:v>
                </c:pt>
                <c:pt idx="13">
                  <c:v>11.579424186858104</c:v>
                </c:pt>
                <c:pt idx="14">
                  <c:v>11.313768765093226</c:v>
                </c:pt>
              </c:numCache>
            </c:numRef>
          </c:yVal>
          <c:smooth val="1"/>
        </c:ser>
        <c:ser>
          <c:idx val="2"/>
          <c:order val="2"/>
          <c:tx>
            <c:v>M=0.75</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'!$H$95:$H$109</c:f>
              <c:numCache>
                <c:formatCode>General</c:formatCode>
                <c:ptCount val="15"/>
                <c:pt idx="0">
                  <c:v>0</c:v>
                </c:pt>
                <c:pt idx="1">
                  <c:v>4.7548348169869517</c:v>
                </c:pt>
                <c:pt idx="2">
                  <c:v>8.6106239784424243</c:v>
                </c:pt>
                <c:pt idx="3">
                  <c:v>10.05630173511461</c:v>
                </c:pt>
                <c:pt idx="4">
                  <c:v>11.173303028054992</c:v>
                </c:pt>
                <c:pt idx="5">
                  <c:v>11.987809626816404</c:v>
                </c:pt>
                <c:pt idx="6">
                  <c:v>12.539127812369161</c:v>
                </c:pt>
                <c:pt idx="7">
                  <c:v>12.871241740700778</c:v>
                </c:pt>
                <c:pt idx="8">
                  <c:v>13.027026092766238</c:v>
                </c:pt>
                <c:pt idx="9">
                  <c:v>13.04494085609398</c:v>
                </c:pt>
                <c:pt idx="10">
                  <c:v>12.957577915390154</c:v>
                </c:pt>
                <c:pt idx="11">
                  <c:v>12.791378744290551</c:v>
                </c:pt>
                <c:pt idx="12">
                  <c:v>12.566974274758197</c:v>
                </c:pt>
                <c:pt idx="13">
                  <c:v>12.299769031199231</c:v>
                </c:pt>
                <c:pt idx="14">
                  <c:v>12.000537252298964</c:v>
                </c:pt>
              </c:numCache>
            </c:numRef>
          </c:yVal>
          <c:smooth val="1"/>
        </c:ser>
        <c:ser>
          <c:idx val="5"/>
          <c:order val="3"/>
          <c:tx>
            <c:v>M=0.80</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'!$M$95:$M$109</c:f>
              <c:numCache>
                <c:formatCode>General</c:formatCode>
                <c:ptCount val="15"/>
                <c:pt idx="0">
                  <c:v>0</c:v>
                </c:pt>
                <c:pt idx="1">
                  <c:v>5.007170307656132</c:v>
                </c:pt>
                <c:pt idx="2">
                  <c:v>9.0636986321672968</c:v>
                </c:pt>
                <c:pt idx="3">
                  <c:v>10.583451679397145</c:v>
                </c:pt>
                <c:pt idx="4">
                  <c:v>11.754875399939111</c:v>
                </c:pt>
                <c:pt idx="5">
                  <c:v>12.602761779419321</c:v>
                </c:pt>
                <c:pt idx="6">
                  <c:v>13.164500429728008</c:v>
                </c:pt>
                <c:pt idx="7">
                  <c:v>13.481007207080124</c:v>
                </c:pt>
                <c:pt idx="8">
                  <c:v>13.590295388840747</c:v>
                </c:pt>
                <c:pt idx="9">
                  <c:v>13.523548014875738</c:v>
                </c:pt>
                <c:pt idx="10">
                  <c:v>13.303147465630261</c:v>
                </c:pt>
                <c:pt idx="11">
                  <c:v>12.942173050970665</c:v>
                </c:pt>
                <c:pt idx="12">
                  <c:v>12.445177148854642</c:v>
                </c:pt>
                <c:pt idx="13">
                  <c:v>11.810421005167619</c:v>
                </c:pt>
                <c:pt idx="14">
                  <c:v>11.033997566024516</c:v>
                </c:pt>
              </c:numCache>
            </c:numRef>
          </c:yVal>
          <c:smooth val="1"/>
        </c:ser>
        <c:ser>
          <c:idx val="6"/>
          <c:order val="4"/>
          <c:tx>
            <c:v>M=0.82</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'!$O$95:$O$107</c:f>
              <c:numCache>
                <c:formatCode>General</c:formatCode>
                <c:ptCount val="13"/>
                <c:pt idx="0">
                  <c:v>0</c:v>
                </c:pt>
                <c:pt idx="1">
                  <c:v>5.0956735535081519</c:v>
                </c:pt>
                <c:pt idx="2">
                  <c:v>9.2087660401481042</c:v>
                </c:pt>
                <c:pt idx="3">
                  <c:v>10.736151099094979</c:v>
                </c:pt>
                <c:pt idx="4">
                  <c:v>11.895088236715168</c:v>
                </c:pt>
                <c:pt idx="5">
                  <c:v>12.703918345228413</c:v>
                </c:pt>
                <c:pt idx="6">
                  <c:v>13.191826359863741</c:v>
                </c:pt>
                <c:pt idx="7">
                  <c:v>13.389629659922329</c:v>
                </c:pt>
                <c:pt idx="8">
                  <c:v>13.323697881596571</c:v>
                </c:pt>
                <c:pt idx="9">
                  <c:v>13.013335787851901</c:v>
                </c:pt>
                <c:pt idx="10">
                  <c:v>12.471686746988931</c:v>
                </c:pt>
                <c:pt idx="11">
                  <c:v>11.710131519477414</c:v>
                </c:pt>
                <c:pt idx="12">
                  <c:v>10.745676090100995</c:v>
                </c:pt>
              </c:numCache>
            </c:numRef>
          </c:yVal>
          <c:smooth val="1"/>
        </c:ser>
        <c:ser>
          <c:idx val="7"/>
          <c:order val="5"/>
          <c:tx>
            <c:v>M=0.84</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'!$Q$95:$Q$104</c:f>
              <c:numCache>
                <c:formatCode>General</c:formatCode>
                <c:ptCount val="10"/>
                <c:pt idx="0">
                  <c:v>0</c:v>
                </c:pt>
                <c:pt idx="1">
                  <c:v>5.1607365178056535</c:v>
                </c:pt>
                <c:pt idx="2">
                  <c:v>9.2563079732667006</c:v>
                </c:pt>
                <c:pt idx="3">
                  <c:v>10.716802123794569</c:v>
                </c:pt>
                <c:pt idx="4">
                  <c:v>11.7508887164309</c:v>
                </c:pt>
                <c:pt idx="5">
                  <c:v>12.360738916481687</c:v>
                </c:pt>
                <c:pt idx="6">
                  <c:v>12.560539533092973</c:v>
                </c:pt>
                <c:pt idx="7">
                  <c:v>12.371682534217234</c:v>
                </c:pt>
                <c:pt idx="8">
                  <c:v>11.823386399816124</c:v>
                </c:pt>
                <c:pt idx="9">
                  <c:v>10.957999317577455</c:v>
                </c:pt>
              </c:numCache>
            </c:numRef>
          </c:yVal>
          <c:smooth val="1"/>
        </c:ser>
        <c:ser>
          <c:idx val="14"/>
          <c:order val="6"/>
          <c:tx>
            <c:v>M=0.86</c:v>
          </c:tx>
          <c:marker>
            <c:symbol val="none"/>
          </c:marker>
          <c:xVal>
            <c:numRef>
              <c:f>'HS Drag Map '!$B$95:$B$109</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xVal>
          <c:yVal>
            <c:numRef>
              <c:f>'HS Drag Map '!$S$95:$S$102</c:f>
              <c:numCache>
                <c:formatCode>General</c:formatCode>
                <c:ptCount val="8"/>
                <c:pt idx="0">
                  <c:v>0</c:v>
                </c:pt>
                <c:pt idx="1">
                  <c:v>5.1406995052739966</c:v>
                </c:pt>
                <c:pt idx="2">
                  <c:v>8.9517606244675978</c:v>
                </c:pt>
                <c:pt idx="3">
                  <c:v>10.106257108008826</c:v>
                </c:pt>
                <c:pt idx="4">
                  <c:v>10.701579725379323</c:v>
                </c:pt>
                <c:pt idx="5">
                  <c:v>10.745356147870599</c:v>
                </c:pt>
                <c:pt idx="6">
                  <c:v>10.288227945441232</c:v>
                </c:pt>
                <c:pt idx="7">
                  <c:v>9.423245119713231</c:v>
                </c:pt>
              </c:numCache>
            </c:numRef>
          </c:yVal>
          <c:smooth val="1"/>
        </c:ser>
        <c:dLbls>
          <c:showLegendKey val="0"/>
          <c:showVal val="0"/>
          <c:showCatName val="0"/>
          <c:showSerName val="0"/>
          <c:showPercent val="0"/>
          <c:showBubbleSize val="0"/>
        </c:dLbls>
        <c:axId val="517107208"/>
        <c:axId val="517107992"/>
      </c:scatterChart>
      <c:valAx>
        <c:axId val="517107208"/>
        <c:scaling>
          <c:orientation val="minMax"/>
        </c:scaling>
        <c:delete val="0"/>
        <c:axPos val="b"/>
        <c:majorGridlines/>
        <c:title>
          <c:tx>
            <c:rich>
              <a:bodyPr/>
              <a:lstStyle/>
              <a:p>
                <a:pPr>
                  <a:defRPr/>
                </a:pPr>
                <a:r>
                  <a:rPr lang="en-US"/>
                  <a:t>Lift</a:t>
                </a:r>
                <a:r>
                  <a:rPr lang="en-US" baseline="0"/>
                  <a:t> Coefficient C</a:t>
                </a:r>
                <a:r>
                  <a:rPr lang="en-US" baseline="-25000"/>
                  <a:t>L</a:t>
                </a:r>
              </a:p>
            </c:rich>
          </c:tx>
          <c:layout/>
          <c:overlay val="0"/>
        </c:title>
        <c:numFmt formatCode="0.00" sourceLinked="1"/>
        <c:majorTickMark val="none"/>
        <c:minorTickMark val="none"/>
        <c:tickLblPos val="nextTo"/>
        <c:crossAx val="517107992"/>
        <c:crosses val="autoZero"/>
        <c:crossBetween val="midCat"/>
      </c:valAx>
      <c:valAx>
        <c:axId val="517107992"/>
        <c:scaling>
          <c:orientation val="minMax"/>
        </c:scaling>
        <c:delete val="0"/>
        <c:axPos val="l"/>
        <c:majorGridlines/>
        <c:title>
          <c:tx>
            <c:rich>
              <a:bodyPr/>
              <a:lstStyle/>
              <a:p>
                <a:pPr>
                  <a:defRPr/>
                </a:pPr>
                <a:r>
                  <a:rPr lang="en-US"/>
                  <a:t>ML/D</a:t>
                </a:r>
              </a:p>
            </c:rich>
          </c:tx>
          <c:layout/>
          <c:overlay val="0"/>
        </c:title>
        <c:numFmt formatCode="General" sourceLinked="1"/>
        <c:majorTickMark val="none"/>
        <c:minorTickMark val="none"/>
        <c:tickLblPos val="nextTo"/>
        <c:crossAx val="517107208"/>
        <c:crosses val="autoZero"/>
        <c:crossBetween val="midCat"/>
      </c:valAx>
      <c:spPr>
        <a:noFill/>
      </c:spPr>
    </c:plotArea>
    <c:legend>
      <c:legendPos val="r"/>
      <c:layout/>
      <c:overlay val="0"/>
    </c:legend>
    <c:plotVisOnly val="1"/>
    <c:dispBlanksAs val="gap"/>
    <c:showDLblsOverMax val="0"/>
  </c:chart>
  <c:spPr>
    <a:ln>
      <a:solidFill>
        <a:schemeClr val="tx1"/>
      </a:solidFill>
    </a:ln>
    <a:effectLst>
      <a:outerShdw blurRad="50800" dist="38100" dir="3300000" algn="tl" rotWithShape="0">
        <a:prstClr val="black">
          <a:alpha val="40000"/>
        </a:prstClr>
      </a:outerShdw>
    </a:effectLst>
  </c:sp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Drag</a:t>
            </a:r>
            <a:r>
              <a:rPr lang="en-US" sz="1800" b="1" baseline="0"/>
              <a:t> Polar </a:t>
            </a:r>
            <a:endParaRPr lang="en-US" sz="18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v>M = 0.5</c:v>
          </c:tx>
          <c:spPr>
            <a:ln w="19050" cap="rnd">
              <a:solidFill>
                <a:schemeClr val="accent1"/>
              </a:solidFill>
              <a:round/>
            </a:ln>
            <a:effectLst/>
          </c:spPr>
          <c:marker>
            <c:symbol val="none"/>
          </c:marker>
          <c:xVal>
            <c:numRef>
              <c:f>'HS Drag Map '!$E$77:$E$91</c:f>
              <c:numCache>
                <c:formatCode>General</c:formatCode>
                <c:ptCount val="15"/>
                <c:pt idx="0">
                  <c:v>1.4999999999999999E-2</c:v>
                </c:pt>
                <c:pt idx="1">
                  <c:v>1.5531908303701002E-2</c:v>
                </c:pt>
                <c:pt idx="2">
                  <c:v>1.7127633214804008E-2</c:v>
                </c:pt>
                <c:pt idx="3">
                  <c:v>1.8324426898131262E-2</c:v>
                </c:pt>
                <c:pt idx="4">
                  <c:v>1.9787174733309019E-2</c:v>
                </c:pt>
                <c:pt idx="5">
                  <c:v>2.1515876720337276E-2</c:v>
                </c:pt>
                <c:pt idx="6">
                  <c:v>2.3510532859216036E-2</c:v>
                </c:pt>
                <c:pt idx="7">
                  <c:v>2.5771143149945292E-2</c:v>
                </c:pt>
                <c:pt idx="8">
                  <c:v>2.8297707592525052E-2</c:v>
                </c:pt>
                <c:pt idx="9">
                  <c:v>3.1090226186955314E-2</c:v>
                </c:pt>
                <c:pt idx="10">
                  <c:v>3.4148698933236077E-2</c:v>
                </c:pt>
                <c:pt idx="11">
                  <c:v>3.7473422286023642E-2</c:v>
                </c:pt>
                <c:pt idx="12">
                  <c:v>4.1064441574507761E-2</c:v>
                </c:pt>
                <c:pt idx="13">
                  <c:v>4.4921889078418341E-2</c:v>
                </c:pt>
                <c:pt idx="14">
                  <c:v>4.9045846017675872E-2</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ser>
          <c:idx val="1"/>
          <c:order val="1"/>
          <c:tx>
            <c:v>M= 0.7</c:v>
          </c:tx>
          <c:spPr>
            <a:ln w="19050" cap="rnd">
              <a:solidFill>
                <a:schemeClr val="accent2"/>
              </a:solidFill>
              <a:round/>
            </a:ln>
            <a:effectLst/>
          </c:spPr>
          <c:marker>
            <c:symbol val="none"/>
          </c:marker>
          <c:xVal>
            <c:numRef>
              <c:f>'HS Drag Map '!$G$77:$G$91</c:f>
              <c:numCache>
                <c:formatCode>General</c:formatCode>
                <c:ptCount val="15"/>
                <c:pt idx="0">
                  <c:v>1.5080999492825294E-2</c:v>
                </c:pt>
                <c:pt idx="1">
                  <c:v>1.5640309378171527E-2</c:v>
                </c:pt>
                <c:pt idx="2">
                  <c:v>1.7268355340589816E-2</c:v>
                </c:pt>
                <c:pt idx="3">
                  <c:v>1.8483237438396249E-2</c:v>
                </c:pt>
                <c:pt idx="4">
                  <c:v>1.996540176745747E-2</c:v>
                </c:pt>
                <c:pt idx="5">
                  <c:v>2.1714879846344855E-2</c:v>
                </c:pt>
                <c:pt idx="6">
                  <c:v>2.3731703208586769E-2</c:v>
                </c:pt>
                <c:pt idx="7">
                  <c:v>2.6015904289890014E-2</c:v>
                </c:pt>
                <c:pt idx="8">
                  <c:v>2.8567518207773982E-2</c:v>
                </c:pt>
                <c:pt idx="9">
                  <c:v>3.1386586284993807E-2</c:v>
                </c:pt>
                <c:pt idx="10">
                  <c:v>3.447316288626058E-2</c:v>
                </c:pt>
                <c:pt idx="11">
                  <c:v>3.7827328394503722E-2</c:v>
                </c:pt>
                <c:pt idx="12">
                  <c:v>4.1449213305913508E-2</c:v>
                </c:pt>
                <c:pt idx="13">
                  <c:v>4.5339042039399591E-2</c:v>
                </c:pt>
                <c:pt idx="14">
                  <c:v>4.9497211020238276E-2</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ser>
          <c:idx val="2"/>
          <c:order val="2"/>
          <c:tx>
            <c:v>M = 0.8</c:v>
          </c:tx>
          <c:spPr>
            <a:ln w="19050" cap="rnd">
              <a:solidFill>
                <a:schemeClr val="accent3"/>
              </a:solidFill>
              <a:round/>
            </a:ln>
            <a:effectLst/>
          </c:spPr>
          <c:marker>
            <c:symbol val="none"/>
          </c:marker>
          <c:xVal>
            <c:numRef>
              <c:f>'HS Drag Map '!$M$77:$M$91</c:f>
              <c:numCache>
                <c:formatCode>General</c:formatCode>
                <c:ptCount val="15"/>
                <c:pt idx="0">
                  <c:v>1.5377064346920283E-2</c:v>
                </c:pt>
                <c:pt idx="1">
                  <c:v>1.5977087872900451E-2</c:v>
                </c:pt>
                <c:pt idx="2">
                  <c:v>1.7652837599007976E-2</c:v>
                </c:pt>
                <c:pt idx="3">
                  <c:v>1.8897426478484421E-2</c:v>
                </c:pt>
                <c:pt idx="4">
                  <c:v>2.041706031194879E-2</c:v>
                </c:pt>
                <c:pt idx="5">
                  <c:v>2.2217352426453715E-2</c:v>
                </c:pt>
                <c:pt idx="6">
                  <c:v>2.4307796692184205E-2</c:v>
                </c:pt>
                <c:pt idx="7">
                  <c:v>2.6704236150169161E-2</c:v>
                </c:pt>
                <c:pt idx="8">
                  <c:v>2.9432767173585332E-2</c:v>
                </c:pt>
                <c:pt idx="9">
                  <c:v>3.253584041081567E-2</c:v>
                </c:pt>
                <c:pt idx="10">
                  <c:v>3.6081686776766035E-2</c:v>
                </c:pt>
                <c:pt idx="11">
                  <c:v>4.0178724079183901E-2</c:v>
                </c:pt>
                <c:pt idx="12">
                  <c:v>4.4997350644505538E-2</c:v>
                </c:pt>
                <c:pt idx="13">
                  <c:v>5.0802592027623029E-2</c:v>
                </c:pt>
                <c:pt idx="14">
                  <c:v>5.8002550405726466E-2</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ser>
          <c:idx val="3"/>
          <c:order val="3"/>
          <c:tx>
            <c:v>M = 0.82</c:v>
          </c:tx>
          <c:spPr>
            <a:ln w="19050" cap="rnd">
              <a:solidFill>
                <a:schemeClr val="accent4"/>
              </a:solidFill>
              <a:round/>
            </a:ln>
            <a:effectLst/>
          </c:spPr>
          <c:marker>
            <c:symbol val="none"/>
          </c:marker>
          <c:xVal>
            <c:numRef>
              <c:f>'HS Drag Map '!$O$77:$O$91</c:f>
              <c:numCache>
                <c:formatCode>General</c:formatCode>
                <c:ptCount val="15"/>
                <c:pt idx="0">
                  <c:v>1.5473254500126293E-2</c:v>
                </c:pt>
                <c:pt idx="1">
                  <c:v>1.6092082653832197E-2</c:v>
                </c:pt>
                <c:pt idx="2">
                  <c:v>1.7809117886695966E-2</c:v>
                </c:pt>
                <c:pt idx="3">
                  <c:v>1.909436613809215E-2</c:v>
                </c:pt>
                <c:pt idx="4">
                  <c:v>2.0680804976351563E-2</c:v>
                </c:pt>
                <c:pt idx="5">
                  <c:v>2.259145502991973E-2</c:v>
                </c:pt>
                <c:pt idx="6">
                  <c:v>2.4863880940545362E-2</c:v>
                </c:pt>
                <c:pt idx="7">
                  <c:v>2.7558641229972636E-2</c:v>
                </c:pt>
                <c:pt idx="8">
                  <c:v>3.0772237830933906E-2</c:v>
                </c:pt>
                <c:pt idx="9">
                  <c:v>3.4656755758274808E-2</c:v>
                </c:pt>
                <c:pt idx="10">
                  <c:v>3.9449355165914878E-2</c:v>
                </c:pt>
                <c:pt idx="11">
                  <c:v>4.5516141224670556E-2</c:v>
                </c:pt>
                <c:pt idx="12">
                  <c:v>5.3416834379436902E-2</c:v>
                </c:pt>
                <c:pt idx="13">
                  <c:v>6.3999283774799048E-2</c:v>
                </c:pt>
                <c:pt idx="14">
                  <c:v>7.8536459456009802E-2</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ser>
          <c:idx val="4"/>
          <c:order val="4"/>
          <c:tx>
            <c:v>M = 0.84</c:v>
          </c:tx>
          <c:spPr>
            <a:ln w="19050" cap="rnd">
              <a:solidFill>
                <a:schemeClr val="accent5"/>
              </a:solidFill>
              <a:round/>
            </a:ln>
            <a:effectLst/>
          </c:spPr>
          <c:marker>
            <c:symbol val="none"/>
          </c:marker>
          <c:xVal>
            <c:numRef>
              <c:f>'HS Drag Map '!$Q$77:$Q$91</c:f>
              <c:numCache>
                <c:formatCode>General</c:formatCode>
                <c:ptCount val="15"/>
                <c:pt idx="0">
                  <c:v>1.5599606106474949E-2</c:v>
                </c:pt>
                <c:pt idx="1">
                  <c:v>1.6276746489610909E-2</c:v>
                </c:pt>
                <c:pt idx="2">
                  <c:v>1.8149785042287231E-2</c:v>
                </c:pt>
                <c:pt idx="3">
                  <c:v>1.9595397729116969E-2</c:v>
                </c:pt>
                <c:pt idx="4">
                  <c:v>2.1445186494502007E-2</c:v>
                </c:pt>
                <c:pt idx="5">
                  <c:v>2.3784985831873148E-2</c:v>
                </c:pt>
                <c:pt idx="6">
                  <c:v>2.6750443252437389E-2</c:v>
                </c:pt>
                <c:pt idx="7">
                  <c:v>3.0553645306896516E-2</c:v>
                </c:pt>
                <c:pt idx="8">
                  <c:v>3.5522817727291038E-2</c:v>
                </c:pt>
                <c:pt idx="9">
                  <c:v>4.2160980906333634E-2</c:v>
                </c:pt>
                <c:pt idx="10">
                  <c:v>5.1231857747027619E-2</c:v>
                </c:pt>
                <c:pt idx="11">
                  <c:v>6.388464943765193E-2</c:v>
                </c:pt>
                <c:pt idx="12">
                  <c:v>8.1833821400913664E-2</c:v>
                </c:pt>
                <c:pt idx="13">
                  <c:v>0.10761617510287327</c:v>
                </c:pt>
                <c:pt idx="14">
                  <c:v>0.1449557386655474</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ser>
          <c:idx val="5"/>
          <c:order val="5"/>
          <c:tx>
            <c:v>M = 0.86</c:v>
          </c:tx>
          <c:spPr>
            <a:ln w="19050" cap="rnd">
              <a:solidFill>
                <a:schemeClr val="accent6"/>
              </a:solidFill>
              <a:round/>
            </a:ln>
            <a:effectLst/>
          </c:spPr>
          <c:marker>
            <c:symbol val="none"/>
          </c:marker>
          <c:xVal>
            <c:numRef>
              <c:f>'HS Drag Map '!$S$77:$S$91</c:f>
              <c:numCache>
                <c:formatCode>General</c:formatCode>
                <c:ptCount val="15"/>
                <c:pt idx="0">
                  <c:v>1.5825300224373662E-2</c:v>
                </c:pt>
                <c:pt idx="1">
                  <c:v>1.6729240818641519E-2</c:v>
                </c:pt>
                <c:pt idx="2">
                  <c:v>1.9214097339676085E-2</c:v>
                </c:pt>
                <c:pt idx="3">
                  <c:v>2.1273949168542392E-2</c:v>
                </c:pt>
                <c:pt idx="4">
                  <c:v>2.4108590191421954E-2</c:v>
                </c:pt>
                <c:pt idx="5">
                  <c:v>2.801210084224607E-2</c:v>
                </c:pt>
                <c:pt idx="6">
                  <c:v>3.3436273168153147E-2</c:v>
                </c:pt>
                <c:pt idx="7">
                  <c:v>4.1068654702656957E-2</c:v>
                </c:pt>
                <c:pt idx="8">
                  <c:v>5.1946138778237061E-2</c:v>
                </c:pt>
                <c:pt idx="9">
                  <c:v>6.7618960609952608E-2</c:v>
                </c:pt>
                <c:pt idx="10">
                  <c:v>9.0385640523331784E-2</c:v>
                </c:pt>
                <c:pt idx="11">
                  <c:v>0.12362707754216259</c:v>
                </c:pt>
                <c:pt idx="12">
                  <c:v>0.17227826388993173</c:v>
                </c:pt>
                <c:pt idx="13">
                  <c:v>0.24348976787912902</c:v>
                </c:pt>
                <c:pt idx="14">
                  <c:v>0.34754924723098468</c:v>
                </c:pt>
              </c:numCache>
            </c:numRef>
          </c:xVal>
          <c:yVal>
            <c:numRef>
              <c:f>'HS Drag Map '!$B$77:$B$91</c:f>
              <c:numCache>
                <c:formatCode>0.00</c:formatCode>
                <c:ptCount val="15"/>
                <c:pt idx="0">
                  <c:v>0</c:v>
                </c:pt>
                <c:pt idx="1">
                  <c:v>0.1</c:v>
                </c:pt>
                <c:pt idx="2">
                  <c:v>0.2</c:v>
                </c:pt>
                <c:pt idx="3">
                  <c:v>0.25</c:v>
                </c:pt>
                <c:pt idx="4">
                  <c:v>0.3</c:v>
                </c:pt>
                <c:pt idx="5">
                  <c:v>0.35</c:v>
                </c:pt>
                <c:pt idx="6">
                  <c:v>0.4</c:v>
                </c:pt>
                <c:pt idx="7">
                  <c:v>0.45</c:v>
                </c:pt>
                <c:pt idx="8">
                  <c:v>0.5</c:v>
                </c:pt>
                <c:pt idx="9">
                  <c:v>0.55000000000000004</c:v>
                </c:pt>
                <c:pt idx="10">
                  <c:v>0.6</c:v>
                </c:pt>
                <c:pt idx="11">
                  <c:v>0.65</c:v>
                </c:pt>
                <c:pt idx="12">
                  <c:v>0.7</c:v>
                </c:pt>
                <c:pt idx="13">
                  <c:v>0.75</c:v>
                </c:pt>
                <c:pt idx="14">
                  <c:v>0.8</c:v>
                </c:pt>
              </c:numCache>
            </c:numRef>
          </c:yVal>
          <c:smooth val="1"/>
        </c:ser>
        <c:dLbls>
          <c:showLegendKey val="0"/>
          <c:showVal val="0"/>
          <c:showCatName val="0"/>
          <c:showSerName val="0"/>
          <c:showPercent val="0"/>
          <c:showBubbleSize val="0"/>
        </c:dLbls>
        <c:axId val="521535776"/>
        <c:axId val="521536560"/>
      </c:scatterChart>
      <c:valAx>
        <c:axId val="521535776"/>
        <c:scaling>
          <c:orientation val="minMax"/>
          <c:max val="8.0000000000000016E-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Drag</a:t>
                </a:r>
                <a:r>
                  <a:rPr lang="en-US" b="1" baseline="0"/>
                  <a:t> Coefficient</a:t>
                </a:r>
                <a:endParaRPr lang="en-US" b="1"/>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536560"/>
        <c:crosses val="autoZero"/>
        <c:crossBetween val="midCat"/>
      </c:valAx>
      <c:valAx>
        <c:axId val="52153656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Lift Coeffient</a:t>
                </a:r>
                <a:r>
                  <a:rPr lang="en-US" b="1" baseline="0"/>
                  <a:t> </a:t>
                </a:r>
                <a:endParaRPr lang="en-US" b="1"/>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53577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a:outerShdw blurRad="50800" dist="38100" dir="2700000" algn="t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Low</a:t>
            </a:r>
            <a:r>
              <a:rPr lang="en-US" baseline="0"/>
              <a:t> Speed L/D vs C</a:t>
            </a:r>
            <a:r>
              <a:rPr lang="en-US" baseline="-25000"/>
              <a:t>L</a:t>
            </a:r>
          </a:p>
        </c:rich>
      </c:tx>
      <c:layout/>
      <c:overlay val="0"/>
    </c:title>
    <c:autoTitleDeleted val="0"/>
    <c:plotArea>
      <c:layout/>
      <c:scatterChart>
        <c:scatterStyle val="smoothMarker"/>
        <c:varyColors val="0"/>
        <c:ser>
          <c:idx val="0"/>
          <c:order val="0"/>
          <c:tx>
            <c:v>Flaps 0</c:v>
          </c:tx>
          <c:marker>
            <c:symbol val="none"/>
          </c:marker>
          <c:xVal>
            <c:numRef>
              <c:f>'LS Polars'!$C$26:$AG$26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Polars'!$C$28:$AG$28</c:f>
              <c:numCache>
                <c:formatCode>General</c:formatCode>
                <c:ptCount val="31"/>
                <c:pt idx="0">
                  <c:v>0</c:v>
                </c:pt>
                <c:pt idx="1">
                  <c:v>6.4383588960650524</c:v>
                </c:pt>
                <c:pt idx="2">
                  <c:v>11.677036604633329</c:v>
                </c:pt>
                <c:pt idx="3">
                  <c:v>15.161335766393712</c:v>
                </c:pt>
                <c:pt idx="4">
                  <c:v>17.013650962113417</c:v>
                </c:pt>
                <c:pt idx="5">
                  <c:v>17.669275801410745</c:v>
                </c:pt>
                <c:pt idx="6">
                  <c:v>17.570215520452376</c:v>
                </c:pt>
                <c:pt idx="7">
                  <c:v>17.046766171788835</c:v>
                </c:pt>
                <c:pt idx="8">
                  <c:v>16.312504708933869</c:v>
                </c:pt>
                <c:pt idx="9">
                  <c:v>15.49464788526981</c:v>
                </c:pt>
                <c:pt idx="10">
                  <c:v>14.664728301042546</c:v>
                </c:pt>
                <c:pt idx="11">
                  <c:v>13.860729076809058</c:v>
                </c:pt>
                <c:pt idx="12">
                  <c:v>13.101181026690044</c:v>
                </c:pt>
                <c:pt idx="13">
                  <c:v>12.393640715831232</c:v>
                </c:pt>
                <c:pt idx="14">
                  <c:v>11.739645436309102</c:v>
                </c:pt>
                <c:pt idx="15">
                  <c:v>11.137563374178061</c:v>
                </c:pt>
                <c:pt idx="16">
                  <c:v>10.584213824198917</c:v>
                </c:pt>
                <c:pt idx="17">
                  <c:v>10.07577577440672</c:v>
                </c:pt>
                <c:pt idx="18">
                  <c:v>9.6082866784206029</c:v>
                </c:pt>
                <c:pt idx="19">
                  <c:v>9.1779060834349107</c:v>
                </c:pt>
                <c:pt idx="20">
                  <c:v>8.7810451085825996</c:v>
                </c:pt>
                <c:pt idx="21">
                  <c:v>8.4144202317850088</c:v>
                </c:pt>
                <c:pt idx="22">
                  <c:v>8.0750652488960437</c:v>
                </c:pt>
                <c:pt idx="23">
                  <c:v>7.7603209971593685</c:v>
                </c:pt>
                <c:pt idx="24">
                  <c:v>7.4678141194648413</c:v>
                </c:pt>
                <c:pt idx="25">
                  <c:v>7.1954312849253981</c:v>
                </c:pt>
                <c:pt idx="26">
                  <c:v>6.9412924357737626</c:v>
                </c:pt>
                <c:pt idx="27">
                  <c:v>6.7037249675658579</c:v>
                </c:pt>
                <c:pt idx="28">
                  <c:v>6.4812397837238036</c:v>
                </c:pt>
                <c:pt idx="29">
                  <c:v>6.2725096116364663</c:v>
                </c:pt>
                <c:pt idx="30">
                  <c:v>6.0763496575486284</c:v>
                </c:pt>
              </c:numCache>
            </c:numRef>
          </c:yVal>
          <c:smooth val="1"/>
        </c:ser>
        <c:ser>
          <c:idx val="1"/>
          <c:order val="1"/>
          <c:tx>
            <c:v>Flaps 15</c:v>
          </c:tx>
          <c:marker>
            <c:symbol val="none"/>
          </c:marker>
          <c:xVal>
            <c:numRef>
              <c:f>'LS Polars'!$C$26:$AG$26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Polars'!$C$30:$AG$30</c:f>
              <c:numCache>
                <c:formatCode>General</c:formatCode>
                <c:ptCount val="31"/>
                <c:pt idx="0">
                  <c:v>0</c:v>
                </c:pt>
                <c:pt idx="1">
                  <c:v>4.2521621683141362</c:v>
                </c:pt>
                <c:pt idx="2">
                  <c:v>7.9621520503823815</c:v>
                </c:pt>
                <c:pt idx="3">
                  <c:v>10.799389848815775</c:v>
                </c:pt>
                <c:pt idx="4">
                  <c:v>12.697507908340736</c:v>
                </c:pt>
                <c:pt idx="5">
                  <c:v>13.778620984409926</c:v>
                </c:pt>
                <c:pt idx="6">
                  <c:v>14.239253102139411</c:v>
                </c:pt>
                <c:pt idx="7">
                  <c:v>14.271425756252603</c:v>
                </c:pt>
                <c:pt idx="8">
                  <c:v>14.029156194681139</c:v>
                </c:pt>
                <c:pt idx="9">
                  <c:v>13.623547348415656</c:v>
                </c:pt>
                <c:pt idx="10">
                  <c:v>13.129744936087871</c:v>
                </c:pt>
                <c:pt idx="11">
                  <c:v>12.596395916659652</c:v>
                </c:pt>
                <c:pt idx="12">
                  <c:v>12.053896962892072</c:v>
                </c:pt>
                <c:pt idx="13">
                  <c:v>11.520558922109842</c:v>
                </c:pt>
                <c:pt idx="14">
                  <c:v>11.006885577180064</c:v>
                </c:pt>
                <c:pt idx="15">
                  <c:v>10.518428572098362</c:v>
                </c:pt>
                <c:pt idx="16">
                  <c:v>10.057650478516202</c:v>
                </c:pt>
                <c:pt idx="17">
                  <c:v>9.625124719252808</c:v>
                </c:pt>
                <c:pt idx="18">
                  <c:v>9.2203016843969721</c:v>
                </c:pt>
                <c:pt idx="19">
                  <c:v>8.8419943134760501</c:v>
                </c:pt>
                <c:pt idx="20">
                  <c:v>8.4886833350716095</c:v>
                </c:pt>
                <c:pt idx="21">
                  <c:v>8.1587069330266768</c:v>
                </c:pt>
                <c:pt idx="22">
                  <c:v>7.8503765043150597</c:v>
                </c:pt>
                <c:pt idx="23">
                  <c:v>7.5620452720200335</c:v>
                </c:pt>
                <c:pt idx="24">
                  <c:v>7.2921469500108298</c:v>
                </c:pt>
                <c:pt idx="25">
                  <c:v>7.0392155189744381</c:v>
                </c:pt>
                <c:pt idx="26">
                  <c:v>6.8018932314784069</c:v>
                </c:pt>
                <c:pt idx="27">
                  <c:v>6.5789314255047824</c:v>
                </c:pt>
                <c:pt idx="28">
                  <c:v>6.369187086979144</c:v>
                </c:pt>
                <c:pt idx="29">
                  <c:v>6.171617040849398</c:v>
                </c:pt>
                <c:pt idx="30">
                  <c:v>5.9852709621172435</c:v>
                </c:pt>
              </c:numCache>
            </c:numRef>
          </c:yVal>
          <c:smooth val="1"/>
        </c:ser>
        <c:ser>
          <c:idx val="2"/>
          <c:order val="2"/>
          <c:tx>
            <c:v>Flaps 25</c:v>
          </c:tx>
          <c:marker>
            <c:symbol val="none"/>
          </c:marker>
          <c:xVal>
            <c:numRef>
              <c:f>'LS Polars'!$C$26:$AG$26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Polars'!$C$31:$AG$31</c:f>
              <c:numCache>
                <c:formatCode>General</c:formatCode>
                <c:ptCount val="31"/>
                <c:pt idx="0">
                  <c:v>0</c:v>
                </c:pt>
                <c:pt idx="1">
                  <c:v>3.1728457837198509</c:v>
                </c:pt>
                <c:pt idx="2">
                  <c:v>6.0388593850094328</c:v>
                </c:pt>
                <c:pt idx="3">
                  <c:v>8.3847253681305229</c:v>
                </c:pt>
                <c:pt idx="4">
                  <c:v>10.12600686370468</c:v>
                </c:pt>
                <c:pt idx="5">
                  <c:v>11.289713951457355</c:v>
                </c:pt>
                <c:pt idx="6">
                  <c:v>11.967199920847982</c:v>
                </c:pt>
                <c:pt idx="7">
                  <c:v>12.270141097000229</c:v>
                </c:pt>
                <c:pt idx="8">
                  <c:v>12.303130763091209</c:v>
                </c:pt>
                <c:pt idx="9">
                  <c:v>12.151966138906847</c:v>
                </c:pt>
                <c:pt idx="10">
                  <c:v>11.881713947784162</c:v>
                </c:pt>
                <c:pt idx="11">
                  <c:v>11.539280660025906</c:v>
                </c:pt>
                <c:pt idx="12">
                  <c:v>11.157303701544649</c:v>
                </c:pt>
                <c:pt idx="13">
                  <c:v>10.757871578155209</c:v>
                </c:pt>
                <c:pt idx="14">
                  <c:v>10.355557376435234</c:v>
                </c:pt>
                <c:pt idx="15">
                  <c:v>9.9597061318480478</c:v>
                </c:pt>
                <c:pt idx="16">
                  <c:v>9.5760858560539379</c:v>
                </c:pt>
                <c:pt idx="17">
                  <c:v>9.2080488662701061</c:v>
                </c:pt>
                <c:pt idx="18">
                  <c:v>8.8573358674292919</c:v>
                </c:pt>
                <c:pt idx="19">
                  <c:v>8.5246271359575641</c:v>
                </c:pt>
                <c:pt idx="20">
                  <c:v>8.209917766562306</c:v>
                </c:pt>
                <c:pt idx="21">
                  <c:v>7.9127717492918013</c:v>
                </c:pt>
                <c:pt idx="22">
                  <c:v>7.6324930706030258</c:v>
                </c:pt>
                <c:pt idx="23">
                  <c:v>7.3682401736944874</c:v>
                </c:pt>
                <c:pt idx="24">
                  <c:v>7.11910182774416</c:v>
                </c:pt>
                <c:pt idx="25">
                  <c:v>6.8841467426989071</c:v>
                </c:pt>
                <c:pt idx="26">
                  <c:v>6.6624553546120593</c:v>
                </c:pt>
                <c:pt idx="27">
                  <c:v>6.4531395366431852</c:v>
                </c:pt>
                <c:pt idx="28">
                  <c:v>6.2553541698278616</c:v>
                </c:pt>
                <c:pt idx="29">
                  <c:v>6.0683032647452766</c:v>
                </c:pt>
                <c:pt idx="30">
                  <c:v>5.8912424754004276</c:v>
                </c:pt>
              </c:numCache>
            </c:numRef>
          </c:yVal>
          <c:smooth val="1"/>
        </c:ser>
        <c:ser>
          <c:idx val="3"/>
          <c:order val="3"/>
          <c:tx>
            <c:v>Flaps 50</c:v>
          </c:tx>
          <c:marker>
            <c:symbol val="none"/>
          </c:marker>
          <c:xVal>
            <c:numRef>
              <c:f>'LS Polars'!$C$26:$AG$26</c:f>
              <c:numCache>
                <c:formatCode>General</c:formatCode>
                <c:ptCount val="31"/>
                <c:pt idx="0">
                  <c:v>0</c:v>
                </c:pt>
                <c:pt idx="1">
                  <c:v>0.1</c:v>
                </c:pt>
                <c:pt idx="2">
                  <c:v>0.2</c:v>
                </c:pt>
                <c:pt idx="3">
                  <c:v>0.3</c:v>
                </c:pt>
                <c:pt idx="4">
                  <c:v>0.4</c:v>
                </c:pt>
                <c:pt idx="5">
                  <c:v>0.5</c:v>
                </c:pt>
                <c:pt idx="6">
                  <c:v>0.6</c:v>
                </c:pt>
                <c:pt idx="7">
                  <c:v>0.7</c:v>
                </c:pt>
                <c:pt idx="8">
                  <c:v>0.8</c:v>
                </c:pt>
                <c:pt idx="9">
                  <c:v>0.9</c:v>
                </c:pt>
                <c:pt idx="10">
                  <c:v>1</c:v>
                </c:pt>
                <c:pt idx="11">
                  <c:v>1.1000000000000001</c:v>
                </c:pt>
                <c:pt idx="12">
                  <c:v>1.2</c:v>
                </c:pt>
                <c:pt idx="13">
                  <c:v>1.3</c:v>
                </c:pt>
                <c:pt idx="14">
                  <c:v>1.4</c:v>
                </c:pt>
                <c:pt idx="15">
                  <c:v>1.5</c:v>
                </c:pt>
                <c:pt idx="16">
                  <c:v>1.6</c:v>
                </c:pt>
                <c:pt idx="17">
                  <c:v>1.7</c:v>
                </c:pt>
                <c:pt idx="18">
                  <c:v>1.8</c:v>
                </c:pt>
                <c:pt idx="19">
                  <c:v>1.9</c:v>
                </c:pt>
                <c:pt idx="20">
                  <c:v>2</c:v>
                </c:pt>
                <c:pt idx="21">
                  <c:v>2.1</c:v>
                </c:pt>
                <c:pt idx="22">
                  <c:v>2.2000000000000002</c:v>
                </c:pt>
                <c:pt idx="23">
                  <c:v>2.2999999999999998</c:v>
                </c:pt>
                <c:pt idx="24">
                  <c:v>2.4</c:v>
                </c:pt>
                <c:pt idx="25">
                  <c:v>2.5</c:v>
                </c:pt>
                <c:pt idx="26">
                  <c:v>2.6</c:v>
                </c:pt>
                <c:pt idx="27">
                  <c:v>2.7</c:v>
                </c:pt>
                <c:pt idx="28">
                  <c:v>2.8</c:v>
                </c:pt>
                <c:pt idx="29">
                  <c:v>2.9</c:v>
                </c:pt>
                <c:pt idx="30">
                  <c:v>3</c:v>
                </c:pt>
              </c:numCache>
            </c:numRef>
          </c:xVal>
          <c:yVal>
            <c:numRef>
              <c:f>'LS Polars'!$C$32:$AG$32</c:f>
              <c:numCache>
                <c:formatCode>General</c:formatCode>
                <c:ptCount val="31"/>
                <c:pt idx="0">
                  <c:v>0</c:v>
                </c:pt>
                <c:pt idx="1">
                  <c:v>1.0360821045872144</c:v>
                </c:pt>
                <c:pt idx="2">
                  <c:v>2.0383445828839912</c:v>
                </c:pt>
                <c:pt idx="3">
                  <c:v>2.9768003899479973</c:v>
                </c:pt>
                <c:pt idx="4">
                  <c:v>3.8276689798642543</c:v>
                </c:pt>
                <c:pt idx="5">
                  <c:v>4.5750634522784974</c:v>
                </c:pt>
                <c:pt idx="6">
                  <c:v>5.2111813173102917</c:v>
                </c:pt>
                <c:pt idx="7">
                  <c:v>5.7353985955796185</c:v>
                </c:pt>
                <c:pt idx="8">
                  <c:v>6.152705556328617</c:v>
                </c:pt>
                <c:pt idx="9">
                  <c:v>6.4719292313922114</c:v>
                </c:pt>
                <c:pt idx="10">
                  <c:v>6.7040780212197584</c:v>
                </c:pt>
                <c:pt idx="11">
                  <c:v>6.8609964468482296</c:v>
                </c:pt>
                <c:pt idx="12">
                  <c:v>6.9543903937563911</c:v>
                </c:pt>
                <c:pt idx="13">
                  <c:v>6.9951989693562817</c:v>
                </c:pt>
                <c:pt idx="14">
                  <c:v>6.9932476950248859</c:v>
                </c:pt>
                <c:pt idx="15">
                  <c:v>6.9571072406017391</c:v>
                </c:pt>
                <c:pt idx="16">
                  <c:v>6.8940888825947821</c:v>
                </c:pt>
                <c:pt idx="17">
                  <c:v>6.81032205113803</c:v>
                </c:pt>
                <c:pt idx="18">
                  <c:v>6.7108744788188588</c:v>
                </c:pt>
                <c:pt idx="19">
                  <c:v>6.599888560807913</c:v>
                </c:pt>
                <c:pt idx="20">
                  <c:v>6.4807176104372433</c:v>
                </c:pt>
                <c:pt idx="21">
                  <c:v>6.3560528445153128</c:v>
                </c:pt>
                <c:pt idx="22">
                  <c:v>6.2280366863406718</c:v>
                </c:pt>
                <c:pt idx="23">
                  <c:v>6.0983609446170544</c:v>
                </c:pt>
                <c:pt idx="24">
                  <c:v>5.9683501557950196</c:v>
                </c:pt>
                <c:pt idx="25">
                  <c:v>5.8390312887905509</c:v>
                </c:pt>
                <c:pt idx="26">
                  <c:v>5.7111914098652763</c:v>
                </c:pt>
                <c:pt idx="27">
                  <c:v>5.5854250002138217</c:v>
                </c:pt>
                <c:pt idx="28">
                  <c:v>5.462172545670021</c:v>
                </c:pt>
                <c:pt idx="29">
                  <c:v>5.3417518622504545</c:v>
                </c:pt>
                <c:pt idx="30">
                  <c:v>5.2243834341717257</c:v>
                </c:pt>
              </c:numCache>
            </c:numRef>
          </c:yVal>
          <c:smooth val="1"/>
        </c:ser>
        <c:dLbls>
          <c:showLegendKey val="0"/>
          <c:showVal val="0"/>
          <c:showCatName val="0"/>
          <c:showSerName val="0"/>
          <c:showPercent val="0"/>
          <c:showBubbleSize val="0"/>
        </c:dLbls>
        <c:axId val="521536168"/>
        <c:axId val="521533424"/>
      </c:scatterChart>
      <c:valAx>
        <c:axId val="521536168"/>
        <c:scaling>
          <c:orientation val="minMax"/>
        </c:scaling>
        <c:delete val="0"/>
        <c:axPos val="b"/>
        <c:majorGridlines/>
        <c:title>
          <c:tx>
            <c:rich>
              <a:bodyPr/>
              <a:lstStyle/>
              <a:p>
                <a:pPr>
                  <a:defRPr/>
                </a:pPr>
                <a:r>
                  <a:rPr lang="en-US"/>
                  <a:t>Lift Coefficient, C</a:t>
                </a:r>
                <a:r>
                  <a:rPr lang="en-US" baseline="-25000"/>
                  <a:t>L</a:t>
                </a:r>
              </a:p>
            </c:rich>
          </c:tx>
          <c:layout/>
          <c:overlay val="0"/>
        </c:title>
        <c:numFmt formatCode="General" sourceLinked="1"/>
        <c:majorTickMark val="none"/>
        <c:minorTickMark val="none"/>
        <c:tickLblPos val="nextTo"/>
        <c:crossAx val="521533424"/>
        <c:crosses val="autoZero"/>
        <c:crossBetween val="midCat"/>
      </c:valAx>
      <c:valAx>
        <c:axId val="521533424"/>
        <c:scaling>
          <c:orientation val="minMax"/>
        </c:scaling>
        <c:delete val="0"/>
        <c:axPos val="l"/>
        <c:majorGridlines/>
        <c:title>
          <c:tx>
            <c:rich>
              <a:bodyPr/>
              <a:lstStyle/>
              <a:p>
                <a:pPr>
                  <a:defRPr/>
                </a:pPr>
                <a:r>
                  <a:rPr lang="en-US"/>
                  <a:t>L/D</a:t>
                </a:r>
              </a:p>
            </c:rich>
          </c:tx>
          <c:layout/>
          <c:overlay val="0"/>
        </c:title>
        <c:numFmt formatCode="General" sourceLinked="1"/>
        <c:majorTickMark val="none"/>
        <c:minorTickMark val="none"/>
        <c:tickLblPos val="nextTo"/>
        <c:crossAx val="521536168"/>
        <c:crosses val="autoZero"/>
        <c:crossBetween val="midCat"/>
      </c:valAx>
    </c:plotArea>
    <c:legend>
      <c:legendPos val="r"/>
      <c:layout/>
      <c:overlay val="0"/>
    </c:legend>
    <c:plotVisOnly val="1"/>
    <c:dispBlanksAs val="gap"/>
    <c:showDLblsOverMax val="0"/>
  </c:chart>
  <c:spPr>
    <a:ln w="22225">
      <a:solidFill>
        <a:schemeClr val="tx1"/>
      </a:solidFill>
    </a:ln>
    <a:effectLst>
      <a:outerShdw blurRad="50800" dist="38100" dir="2700000" algn="tl" rotWithShape="0">
        <a:prstClr val="black">
          <a:alpha val="40000"/>
        </a:prstClr>
      </a:outerShdw>
    </a:effectLst>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Low</a:t>
            </a:r>
            <a:r>
              <a:rPr lang="en-US" baseline="0"/>
              <a:t> Speed Drag Polars</a:t>
            </a:r>
          </a:p>
        </c:rich>
      </c:tx>
      <c:layout/>
      <c:overlay val="0"/>
    </c:title>
    <c:autoTitleDeleted val="0"/>
    <c:plotArea>
      <c:layout/>
      <c:scatterChart>
        <c:scatterStyle val="smoothMarker"/>
        <c:varyColors val="0"/>
        <c:ser>
          <c:idx val="0"/>
          <c:order val="0"/>
          <c:tx>
            <c:strRef>
              <c:f>'LS Polars'!$B$18</c:f>
              <c:strCache>
                <c:ptCount val="1"/>
                <c:pt idx="0">
                  <c:v>CD clean</c:v>
                </c:pt>
              </c:strCache>
            </c:strRef>
          </c:tx>
          <c:marker>
            <c:symbol val="none"/>
          </c:marker>
          <c:xVal>
            <c:numRef>
              <c:f>'LS Polars'!$C$17:$P$17</c:f>
              <c:numCache>
                <c:formatCode>General</c:formatCode>
                <c:ptCount val="14"/>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numCache>
            </c:numRef>
          </c:xVal>
          <c:yVal>
            <c:numRef>
              <c:f>'LS Polars'!$C$18:$AG$18</c:f>
              <c:numCache>
                <c:formatCode>General</c:formatCode>
                <c:ptCount val="31"/>
                <c:pt idx="0">
                  <c:v>1.4999999999999999E-2</c:v>
                </c:pt>
                <c:pt idx="1">
                  <c:v>1.5531908303701002E-2</c:v>
                </c:pt>
                <c:pt idx="2">
                  <c:v>1.7127633214804008E-2</c:v>
                </c:pt>
                <c:pt idx="3">
                  <c:v>1.9787174733309019E-2</c:v>
                </c:pt>
                <c:pt idx="4">
                  <c:v>2.3510532859216036E-2</c:v>
                </c:pt>
                <c:pt idx="5">
                  <c:v>2.8297707592525052E-2</c:v>
                </c:pt>
                <c:pt idx="6">
                  <c:v>3.4148698933236077E-2</c:v>
                </c:pt>
                <c:pt idx="7">
                  <c:v>4.1063506881349104E-2</c:v>
                </c:pt>
                <c:pt idx="8">
                  <c:v>4.9042131436864145E-2</c:v>
                </c:pt>
                <c:pt idx="9">
                  <c:v>5.808457259978117E-2</c:v>
                </c:pt>
                <c:pt idx="10">
                  <c:v>6.8190830370100208E-2</c:v>
                </c:pt>
                <c:pt idx="11">
                  <c:v>7.9360904747821259E-2</c:v>
                </c:pt>
                <c:pt idx="12">
                  <c:v>9.1594795732944295E-2</c:v>
                </c:pt>
                <c:pt idx="13">
                  <c:v>0.10489250332546937</c:v>
                </c:pt>
                <c:pt idx="14">
                  <c:v>0.11925402752539641</c:v>
                </c:pt>
                <c:pt idx="15">
                  <c:v>0.13467936833272548</c:v>
                </c:pt>
                <c:pt idx="16">
                  <c:v>0.15116852574745659</c:v>
                </c:pt>
                <c:pt idx="17">
                  <c:v>0.16872149976958961</c:v>
                </c:pt>
                <c:pt idx="18">
                  <c:v>0.1873382903991247</c:v>
                </c:pt>
                <c:pt idx="19">
                  <c:v>0.20701889763606174</c:v>
                </c:pt>
                <c:pt idx="20">
                  <c:v>0.22776332148040085</c:v>
                </c:pt>
                <c:pt idx="21">
                  <c:v>0.24957156193214192</c:v>
                </c:pt>
                <c:pt idx="22">
                  <c:v>0.27244361899128505</c:v>
                </c:pt>
                <c:pt idx="23">
                  <c:v>0.29637949265783009</c:v>
                </c:pt>
                <c:pt idx="24">
                  <c:v>0.3213791829317772</c:v>
                </c:pt>
                <c:pt idx="25">
                  <c:v>0.34744268981312632</c:v>
                </c:pt>
                <c:pt idx="26">
                  <c:v>0.3745700133018775</c:v>
                </c:pt>
                <c:pt idx="27">
                  <c:v>0.40276115339803059</c:v>
                </c:pt>
                <c:pt idx="28">
                  <c:v>0.43201611010158564</c:v>
                </c:pt>
                <c:pt idx="29">
                  <c:v>0.46233488341254281</c:v>
                </c:pt>
                <c:pt idx="30">
                  <c:v>0.49371747333090193</c:v>
                </c:pt>
              </c:numCache>
            </c:numRef>
          </c:yVal>
          <c:smooth val="1"/>
        </c:ser>
        <c:ser>
          <c:idx val="1"/>
          <c:order val="1"/>
          <c:tx>
            <c:strRef>
              <c:f>'LS Polars'!$B$19</c:f>
              <c:strCache>
                <c:ptCount val="1"/>
                <c:pt idx="0">
                  <c:v> + ΔCD slats</c:v>
                </c:pt>
              </c:strCache>
            </c:strRef>
          </c:tx>
          <c:marker>
            <c:symbol val="none"/>
          </c:marker>
          <c:xVal>
            <c:numRef>
              <c:f>'LS Polars'!$C$17:$Q$17</c:f>
              <c:numCache>
                <c:formatCode>General</c:formatCode>
                <c:ptCount val="15"/>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numCache>
            </c:numRef>
          </c:xVal>
          <c:yVal>
            <c:numRef>
              <c:f>'LS Polars'!$C$19:$U$19</c:f>
              <c:numCache>
                <c:formatCode>General</c:formatCode>
                <c:ptCount val="19"/>
                <c:pt idx="0">
                  <c:v>2.0999999999999998E-2</c:v>
                </c:pt>
                <c:pt idx="1">
                  <c:v>2.1531908303701004E-2</c:v>
                </c:pt>
                <c:pt idx="2">
                  <c:v>2.312763321480401E-2</c:v>
                </c:pt>
                <c:pt idx="3">
                  <c:v>2.5787174733309021E-2</c:v>
                </c:pt>
                <c:pt idx="4">
                  <c:v>2.9510532859216038E-2</c:v>
                </c:pt>
                <c:pt idx="5">
                  <c:v>3.4297707592525054E-2</c:v>
                </c:pt>
                <c:pt idx="6">
                  <c:v>4.0148698933236075E-2</c:v>
                </c:pt>
                <c:pt idx="7">
                  <c:v>4.7063506881349103E-2</c:v>
                </c:pt>
                <c:pt idx="8">
                  <c:v>5.5042131436864143E-2</c:v>
                </c:pt>
                <c:pt idx="9">
                  <c:v>6.4084572599781175E-2</c:v>
                </c:pt>
                <c:pt idx="10">
                  <c:v>7.4190830370100214E-2</c:v>
                </c:pt>
                <c:pt idx="11">
                  <c:v>8.5360904747821265E-2</c:v>
                </c:pt>
                <c:pt idx="12">
                  <c:v>9.7594795732944301E-2</c:v>
                </c:pt>
                <c:pt idx="13">
                  <c:v>0.11089250332546938</c:v>
                </c:pt>
                <c:pt idx="14">
                  <c:v>0.12525402752539641</c:v>
                </c:pt>
                <c:pt idx="15">
                  <c:v>0.14067936833272549</c:v>
                </c:pt>
                <c:pt idx="16">
                  <c:v>0.1571685257474566</c:v>
                </c:pt>
                <c:pt idx="17">
                  <c:v>0.17472149976958962</c:v>
                </c:pt>
                <c:pt idx="18">
                  <c:v>0.1933382903991247</c:v>
                </c:pt>
              </c:numCache>
            </c:numRef>
          </c:yVal>
          <c:smooth val="1"/>
        </c:ser>
        <c:ser>
          <c:idx val="2"/>
          <c:order val="2"/>
          <c:tx>
            <c:strRef>
              <c:f>'LS Polars'!$B$20</c:f>
              <c:strCache>
                <c:ptCount val="1"/>
                <c:pt idx="0">
                  <c:v> + ΔCD flaps 15</c:v>
                </c:pt>
              </c:strCache>
            </c:strRef>
          </c:tx>
          <c:marker>
            <c:symbol val="none"/>
          </c:marker>
          <c:xVal>
            <c:numRef>
              <c:f>'LS Polars'!$C$17:$AG$17</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Polars'!$C$20:$AG$20</c:f>
              <c:numCache>
                <c:formatCode>General</c:formatCode>
                <c:ptCount val="31"/>
                <c:pt idx="0">
                  <c:v>2.8999999999999998E-2</c:v>
                </c:pt>
                <c:pt idx="1">
                  <c:v>2.9531908303701004E-2</c:v>
                </c:pt>
                <c:pt idx="2">
                  <c:v>3.112763321480401E-2</c:v>
                </c:pt>
                <c:pt idx="3">
                  <c:v>3.3787174733309021E-2</c:v>
                </c:pt>
                <c:pt idx="4">
                  <c:v>3.7510532859216038E-2</c:v>
                </c:pt>
                <c:pt idx="5">
                  <c:v>4.2297707592525054E-2</c:v>
                </c:pt>
                <c:pt idx="6">
                  <c:v>4.8148698933236075E-2</c:v>
                </c:pt>
                <c:pt idx="7">
                  <c:v>5.5063506881349103E-2</c:v>
                </c:pt>
                <c:pt idx="8">
                  <c:v>6.3042131436864143E-2</c:v>
                </c:pt>
                <c:pt idx="9">
                  <c:v>7.2084572599781183E-2</c:v>
                </c:pt>
                <c:pt idx="10">
                  <c:v>8.2190830370100221E-2</c:v>
                </c:pt>
                <c:pt idx="11">
                  <c:v>9.3360904747821272E-2</c:v>
                </c:pt>
                <c:pt idx="12">
                  <c:v>0.10559479573294431</c:v>
                </c:pt>
                <c:pt idx="13">
                  <c:v>0.11889250332546938</c:v>
                </c:pt>
                <c:pt idx="14">
                  <c:v>0.13325402752539642</c:v>
                </c:pt>
                <c:pt idx="15">
                  <c:v>0.14867936833272549</c:v>
                </c:pt>
                <c:pt idx="16">
                  <c:v>0.16516852574745661</c:v>
                </c:pt>
                <c:pt idx="17">
                  <c:v>0.18272149976958962</c:v>
                </c:pt>
                <c:pt idx="18">
                  <c:v>0.20133829039912471</c:v>
                </c:pt>
                <c:pt idx="19">
                  <c:v>0.22101889763606175</c:v>
                </c:pt>
                <c:pt idx="20">
                  <c:v>0.24176332148040086</c:v>
                </c:pt>
                <c:pt idx="21">
                  <c:v>0.26357156193214193</c:v>
                </c:pt>
                <c:pt idx="22">
                  <c:v>0.28644361899128506</c:v>
                </c:pt>
                <c:pt idx="23">
                  <c:v>0.3103794926578301</c:v>
                </c:pt>
                <c:pt idx="24">
                  <c:v>0.33537918293177721</c:v>
                </c:pt>
                <c:pt idx="25">
                  <c:v>0.36144268981312633</c:v>
                </c:pt>
                <c:pt idx="26">
                  <c:v>0.38857001330187751</c:v>
                </c:pt>
                <c:pt idx="27">
                  <c:v>0.4167611533980306</c:v>
                </c:pt>
                <c:pt idx="28">
                  <c:v>0.44601611010158565</c:v>
                </c:pt>
                <c:pt idx="29">
                  <c:v>0.47633488341254282</c:v>
                </c:pt>
                <c:pt idx="30">
                  <c:v>0.50771747333090189</c:v>
                </c:pt>
              </c:numCache>
            </c:numRef>
          </c:yVal>
          <c:smooth val="1"/>
        </c:ser>
        <c:ser>
          <c:idx val="3"/>
          <c:order val="3"/>
          <c:tx>
            <c:strRef>
              <c:f>'LS Polars'!$B$21</c:f>
              <c:strCache>
                <c:ptCount val="1"/>
                <c:pt idx="0">
                  <c:v> + ΔCD flaps 25</c:v>
                </c:pt>
              </c:strCache>
            </c:strRef>
          </c:tx>
          <c:marker>
            <c:symbol val="none"/>
          </c:marker>
          <c:xVal>
            <c:numRef>
              <c:f>'LS Polars'!$C$17:$AG$17</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Polars'!$C$21:$AG$21</c:f>
              <c:numCache>
                <c:formatCode>General</c:formatCode>
                <c:ptCount val="31"/>
                <c:pt idx="11">
                  <c:v>0.10136090474782126</c:v>
                </c:pt>
                <c:pt idx="12">
                  <c:v>0.1135947957329443</c:v>
                </c:pt>
                <c:pt idx="13">
                  <c:v>0.12689250332546936</c:v>
                </c:pt>
                <c:pt idx="14">
                  <c:v>0.1412540275253964</c:v>
                </c:pt>
                <c:pt idx="15">
                  <c:v>0.1566793683327255</c:v>
                </c:pt>
                <c:pt idx="16">
                  <c:v>0.17316852574745661</c:v>
                </c:pt>
                <c:pt idx="17">
                  <c:v>0.19072149976958963</c:v>
                </c:pt>
                <c:pt idx="18">
                  <c:v>0.20933829039912472</c:v>
                </c:pt>
                <c:pt idx="19">
                  <c:v>0.22901889763606176</c:v>
                </c:pt>
                <c:pt idx="20">
                  <c:v>0.24976332148040087</c:v>
                </c:pt>
                <c:pt idx="21">
                  <c:v>0.27157156193214194</c:v>
                </c:pt>
                <c:pt idx="22">
                  <c:v>0.29444361899128507</c:v>
                </c:pt>
                <c:pt idx="23">
                  <c:v>0.31837949265783011</c:v>
                </c:pt>
                <c:pt idx="24">
                  <c:v>0.34337918293177722</c:v>
                </c:pt>
                <c:pt idx="25">
                  <c:v>0.36944268981312633</c:v>
                </c:pt>
                <c:pt idx="26">
                  <c:v>0.39657001330187752</c:v>
                </c:pt>
                <c:pt idx="27">
                  <c:v>0.42476115339803061</c:v>
                </c:pt>
                <c:pt idx="28">
                  <c:v>0.45401611010158566</c:v>
                </c:pt>
                <c:pt idx="29">
                  <c:v>0.48433488341254283</c:v>
                </c:pt>
                <c:pt idx="30">
                  <c:v>0.5157174733309019</c:v>
                </c:pt>
              </c:numCache>
            </c:numRef>
          </c:yVal>
          <c:smooth val="1"/>
        </c:ser>
        <c:ser>
          <c:idx val="4"/>
          <c:order val="4"/>
          <c:tx>
            <c:strRef>
              <c:f>'LS Polars'!$B$22</c:f>
              <c:strCache>
                <c:ptCount val="1"/>
                <c:pt idx="0">
                  <c:v> + ΔCD flaps 50</c:v>
                </c:pt>
              </c:strCache>
            </c:strRef>
          </c:tx>
          <c:marker>
            <c:symbol val="none"/>
          </c:marker>
          <c:xVal>
            <c:numRef>
              <c:f>'LS Polars'!$C$17:$AG$17</c:f>
              <c:numCache>
                <c:formatCode>General</c:formatCode>
                <c:ptCount val="31"/>
                <c:pt idx="0">
                  <c:v>0</c:v>
                </c:pt>
                <c:pt idx="1">
                  <c:v>1.0000000000000002E-2</c:v>
                </c:pt>
                <c:pt idx="2">
                  <c:v>4.0000000000000008E-2</c:v>
                </c:pt>
                <c:pt idx="3">
                  <c:v>0.09</c:v>
                </c:pt>
                <c:pt idx="4">
                  <c:v>0.16000000000000003</c:v>
                </c:pt>
                <c:pt idx="5">
                  <c:v>0.25</c:v>
                </c:pt>
                <c:pt idx="6">
                  <c:v>0.36</c:v>
                </c:pt>
                <c:pt idx="7">
                  <c:v>0.48999999999999994</c:v>
                </c:pt>
                <c:pt idx="8">
                  <c:v>0.64000000000000012</c:v>
                </c:pt>
                <c:pt idx="9">
                  <c:v>0.81</c:v>
                </c:pt>
                <c:pt idx="10">
                  <c:v>1</c:v>
                </c:pt>
                <c:pt idx="11">
                  <c:v>1.2100000000000002</c:v>
                </c:pt>
                <c:pt idx="12">
                  <c:v>1.44</c:v>
                </c:pt>
                <c:pt idx="13">
                  <c:v>1.6900000000000002</c:v>
                </c:pt>
                <c:pt idx="14">
                  <c:v>1.9599999999999997</c:v>
                </c:pt>
                <c:pt idx="15">
                  <c:v>2.25</c:v>
                </c:pt>
                <c:pt idx="16">
                  <c:v>2.5600000000000005</c:v>
                </c:pt>
                <c:pt idx="17">
                  <c:v>2.8899999999999997</c:v>
                </c:pt>
                <c:pt idx="18">
                  <c:v>3.24</c:v>
                </c:pt>
                <c:pt idx="19">
                  <c:v>3.61</c:v>
                </c:pt>
                <c:pt idx="20">
                  <c:v>4</c:v>
                </c:pt>
                <c:pt idx="21">
                  <c:v>4.41</c:v>
                </c:pt>
                <c:pt idx="22">
                  <c:v>4.8400000000000007</c:v>
                </c:pt>
                <c:pt idx="23">
                  <c:v>5.2899999999999991</c:v>
                </c:pt>
                <c:pt idx="24">
                  <c:v>5.76</c:v>
                </c:pt>
                <c:pt idx="25">
                  <c:v>6.25</c:v>
                </c:pt>
                <c:pt idx="26">
                  <c:v>6.7600000000000007</c:v>
                </c:pt>
                <c:pt idx="27">
                  <c:v>7.2900000000000009</c:v>
                </c:pt>
                <c:pt idx="28">
                  <c:v>7.839999999999999</c:v>
                </c:pt>
                <c:pt idx="29">
                  <c:v>8.41</c:v>
                </c:pt>
                <c:pt idx="30">
                  <c:v>9</c:v>
                </c:pt>
              </c:numCache>
            </c:numRef>
          </c:xVal>
          <c:yVal>
            <c:numRef>
              <c:f>'LS Polars'!$C$22:$AG$22</c:f>
              <c:numCache>
                <c:formatCode>General</c:formatCode>
                <c:ptCount val="31"/>
                <c:pt idx="13">
                  <c:v>0.19189250332546937</c:v>
                </c:pt>
                <c:pt idx="14">
                  <c:v>0.2062540275253964</c:v>
                </c:pt>
                <c:pt idx="15">
                  <c:v>0.2216793683327255</c:v>
                </c:pt>
                <c:pt idx="16">
                  <c:v>0.23816852574745662</c:v>
                </c:pt>
                <c:pt idx="17">
                  <c:v>0.25572149976958963</c:v>
                </c:pt>
                <c:pt idx="18">
                  <c:v>0.27433829039912472</c:v>
                </c:pt>
                <c:pt idx="19">
                  <c:v>0.29401889763606176</c:v>
                </c:pt>
                <c:pt idx="20">
                  <c:v>0.31476332148040087</c:v>
                </c:pt>
                <c:pt idx="21">
                  <c:v>0.33657156193214194</c:v>
                </c:pt>
                <c:pt idx="22">
                  <c:v>0.35944361899128507</c:v>
                </c:pt>
                <c:pt idx="23">
                  <c:v>0.38337949265783011</c:v>
                </c:pt>
                <c:pt idx="24">
                  <c:v>0.40837918293177722</c:v>
                </c:pt>
                <c:pt idx="25">
                  <c:v>0.43444268981312634</c:v>
                </c:pt>
                <c:pt idx="26">
                  <c:v>0.46157001330187752</c:v>
                </c:pt>
                <c:pt idx="27">
                  <c:v>0.48976115339803061</c:v>
                </c:pt>
                <c:pt idx="28">
                  <c:v>0.51901611010158566</c:v>
                </c:pt>
                <c:pt idx="29">
                  <c:v>0.54933488341254277</c:v>
                </c:pt>
                <c:pt idx="30">
                  <c:v>0.58071747333090196</c:v>
                </c:pt>
              </c:numCache>
            </c:numRef>
          </c:yVal>
          <c:smooth val="1"/>
        </c:ser>
        <c:dLbls>
          <c:showLegendKey val="0"/>
          <c:showVal val="0"/>
          <c:showCatName val="0"/>
          <c:showSerName val="0"/>
          <c:showPercent val="0"/>
          <c:showBubbleSize val="0"/>
        </c:dLbls>
        <c:axId val="521536952"/>
        <c:axId val="521542440"/>
      </c:scatterChart>
      <c:valAx>
        <c:axId val="521536952"/>
        <c:scaling>
          <c:orientation val="minMax"/>
          <c:max val="3.5"/>
        </c:scaling>
        <c:delete val="0"/>
        <c:axPos val="b"/>
        <c:majorGridlines/>
        <c:title>
          <c:tx>
            <c:rich>
              <a:bodyPr/>
              <a:lstStyle/>
              <a:p>
                <a:pPr>
                  <a:defRPr/>
                </a:pPr>
                <a:r>
                  <a:rPr lang="en-US"/>
                  <a:t>Lift</a:t>
                </a:r>
                <a:r>
                  <a:rPr lang="en-US" baseline="0"/>
                  <a:t> Coefficient Squared  C</a:t>
                </a:r>
                <a:r>
                  <a:rPr lang="en-US" baseline="-25000"/>
                  <a:t>L</a:t>
                </a:r>
                <a:r>
                  <a:rPr lang="en-US" baseline="30000"/>
                  <a:t>2</a:t>
                </a:r>
              </a:p>
            </c:rich>
          </c:tx>
          <c:layout/>
          <c:overlay val="0"/>
        </c:title>
        <c:numFmt formatCode="General" sourceLinked="1"/>
        <c:majorTickMark val="none"/>
        <c:minorTickMark val="none"/>
        <c:tickLblPos val="nextTo"/>
        <c:crossAx val="521542440"/>
        <c:crosses val="autoZero"/>
        <c:crossBetween val="midCat"/>
      </c:valAx>
      <c:valAx>
        <c:axId val="521542440"/>
        <c:scaling>
          <c:orientation val="minMax"/>
          <c:max val="0.25"/>
          <c:min val="0"/>
        </c:scaling>
        <c:delete val="0"/>
        <c:axPos val="l"/>
        <c:majorGridlines/>
        <c:title>
          <c:tx>
            <c:rich>
              <a:bodyPr/>
              <a:lstStyle/>
              <a:p>
                <a:pPr>
                  <a:defRPr/>
                </a:pPr>
                <a:r>
                  <a:rPr lang="en-US"/>
                  <a:t>Drag</a:t>
                </a:r>
                <a:r>
                  <a:rPr lang="en-US" baseline="0"/>
                  <a:t> Coefficient C</a:t>
                </a:r>
                <a:r>
                  <a:rPr lang="en-US" baseline="-25000"/>
                  <a:t>D</a:t>
                </a:r>
              </a:p>
            </c:rich>
          </c:tx>
          <c:layout/>
          <c:overlay val="0"/>
        </c:title>
        <c:numFmt formatCode="General" sourceLinked="1"/>
        <c:majorTickMark val="none"/>
        <c:minorTickMark val="none"/>
        <c:tickLblPos val="nextTo"/>
        <c:crossAx val="521536952"/>
        <c:crosses val="autoZero"/>
        <c:crossBetween val="midCat"/>
      </c:valAx>
    </c:plotArea>
    <c:legend>
      <c:legendPos val="r"/>
      <c:layout/>
      <c:overlay val="0"/>
    </c:legend>
    <c:plotVisOnly val="1"/>
    <c:dispBlanksAs val="gap"/>
    <c:showDLblsOverMax val="0"/>
  </c:chart>
  <c:spPr>
    <a:ln w="22225">
      <a:solidFill>
        <a:schemeClr val="tx1"/>
      </a:solidFill>
    </a:ln>
    <a:effectLst>
      <a:outerShdw blurRad="50800" dist="38100" dir="2700000" algn="tl" rotWithShape="0">
        <a:prstClr val="black">
          <a:alpha val="40000"/>
        </a:prstClr>
      </a:outerShdw>
    </a:effectLst>
  </c:sp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5.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480060</xdr:colOff>
      <xdr:row>1</xdr:row>
      <xdr:rowOff>38100</xdr:rowOff>
    </xdr:from>
    <xdr:to>
      <xdr:col>13</xdr:col>
      <xdr:colOff>556260</xdr:colOff>
      <xdr:row>13</xdr:row>
      <xdr:rowOff>114300</xdr:rowOff>
    </xdr:to>
    <xdr:sp macro="" textlink="">
      <xdr:nvSpPr>
        <xdr:cNvPr id="2" name="TextBox 1"/>
        <xdr:cNvSpPr txBox="1"/>
      </xdr:nvSpPr>
      <xdr:spPr>
        <a:xfrm>
          <a:off x="480060" y="228600"/>
          <a:ext cx="8001000" cy="2362200"/>
        </a:xfrm>
        <a:prstGeom prst="rect">
          <a:avLst/>
        </a:prstGeom>
        <a:solidFill>
          <a:schemeClr val="lt1"/>
        </a:solidFill>
        <a:ln w="222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spreadsheet generates</a:t>
          </a:r>
          <a:r>
            <a:rPr lang="en-US" sz="1100" baseline="0"/>
            <a:t> seven figures</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1.   Compressibility drag rise as a function of Mach number.  The shape of the curve is determined by the user.</a:t>
          </a:r>
        </a:p>
        <a:p>
          <a:r>
            <a:rPr lang="en-US" sz="1100" baseline="0">
              <a:solidFill>
                <a:schemeClr val="dk1"/>
              </a:solidFill>
              <a:effectLst/>
              <a:latin typeface="+mn-lt"/>
              <a:ea typeface="+mn-ea"/>
              <a:cs typeface="+mn-cs"/>
            </a:rPr>
            <a:t>    2.   Drag map (C</a:t>
          </a:r>
          <a:r>
            <a:rPr lang="en-US" sz="1100" baseline="-25000">
              <a:solidFill>
                <a:schemeClr val="dk1"/>
              </a:solidFill>
              <a:effectLst/>
              <a:latin typeface="+mn-lt"/>
              <a:ea typeface="+mn-ea"/>
              <a:cs typeface="+mn-cs"/>
            </a:rPr>
            <a:t>D</a:t>
          </a:r>
          <a:r>
            <a:rPr lang="en-US" sz="1100" baseline="0">
              <a:solidFill>
                <a:schemeClr val="dk1"/>
              </a:solidFill>
              <a:effectLst/>
              <a:latin typeface="+mn-lt"/>
              <a:ea typeface="+mn-ea"/>
              <a:cs typeface="+mn-cs"/>
            </a:rPr>
            <a:t> vs. Mach for various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3.   Drag polars as function of Mach number </a:t>
          </a:r>
        </a:p>
        <a:p>
          <a:r>
            <a:rPr lang="en-US" sz="1100" baseline="0">
              <a:solidFill>
                <a:schemeClr val="dk1"/>
              </a:solidFill>
              <a:effectLst/>
              <a:latin typeface="+mn-lt"/>
              <a:ea typeface="+mn-ea"/>
              <a:cs typeface="+mn-cs"/>
            </a:rPr>
            <a:t>    4.   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for various Mach</a:t>
          </a:r>
        </a:p>
        <a:p>
          <a:r>
            <a:rPr lang="en-US" sz="1100" baseline="0">
              <a:solidFill>
                <a:schemeClr val="dk1"/>
              </a:solidFill>
              <a:effectLst/>
              <a:latin typeface="+mn-lt"/>
              <a:ea typeface="+mn-ea"/>
              <a:cs typeface="+mn-cs"/>
            </a:rPr>
            <a:t>    5.   ML/D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for various Mach</a:t>
          </a:r>
        </a:p>
        <a:p>
          <a:r>
            <a:rPr lang="en-US" sz="1100" baseline="0">
              <a:solidFill>
                <a:schemeClr val="dk1"/>
              </a:solidFill>
              <a:effectLst/>
              <a:latin typeface="+mn-lt"/>
              <a:ea typeface="+mn-ea"/>
              <a:cs typeface="+mn-cs"/>
            </a:rPr>
            <a:t>    6.   </a:t>
          </a:r>
          <a:r>
            <a:rPr lang="en-US" sz="1100" baseline="0">
              <a:solidFill>
                <a:schemeClr val="dk1"/>
              </a:solidFill>
              <a:effectLst/>
              <a:latin typeface="+mn-lt"/>
              <a:ea typeface="+mn-ea"/>
              <a:cs typeface="+mn-cs"/>
            </a:rPr>
            <a:t>C</a:t>
          </a:r>
          <a:r>
            <a:rPr lang="en-US" sz="1100" baseline="-25000">
              <a:solidFill>
                <a:schemeClr val="dk1"/>
              </a:solidFill>
              <a:effectLst/>
              <a:latin typeface="+mn-lt"/>
              <a:ea typeface="+mn-ea"/>
              <a:cs typeface="+mn-cs"/>
            </a:rPr>
            <a:t>D</a:t>
          </a:r>
          <a:r>
            <a:rPr lang="en-US" sz="1100" baseline="0">
              <a:solidFill>
                <a:schemeClr val="dk1"/>
              </a:solidFill>
              <a:effectLst/>
              <a:latin typeface="+mn-lt"/>
              <a:ea typeface="+mn-ea"/>
              <a:cs typeface="+mn-cs"/>
            </a:rPr>
            <a:t> vs. C</a:t>
          </a:r>
          <a:r>
            <a:rPr lang="en-US" sz="1100" baseline="-25000">
              <a:solidFill>
                <a:schemeClr val="dk1"/>
              </a:solidFill>
              <a:effectLst/>
              <a:latin typeface="+mn-lt"/>
              <a:ea typeface="+mn-ea"/>
              <a:cs typeface="+mn-cs"/>
            </a:rPr>
            <a:t>L </a:t>
          </a:r>
          <a:r>
            <a:rPr lang="en-US" sz="1100" baseline="0">
              <a:solidFill>
                <a:schemeClr val="dk1"/>
              </a:solidFill>
              <a:effectLst/>
              <a:latin typeface="+mn-lt"/>
              <a:ea typeface="+mn-ea"/>
              <a:cs typeface="+mn-cs"/>
            </a:rPr>
            <a:t>for various flap settings</a:t>
          </a:r>
        </a:p>
        <a:p>
          <a:r>
            <a:rPr lang="en-US" sz="1100" baseline="0">
              <a:solidFill>
                <a:schemeClr val="dk1"/>
              </a:solidFill>
              <a:effectLst/>
              <a:latin typeface="+mn-lt"/>
              <a:ea typeface="+mn-ea"/>
              <a:cs typeface="+mn-cs"/>
            </a:rPr>
            <a:t>    7.   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for various flap settin</a:t>
          </a:r>
          <a:endParaRPr lang="en-US" sz="1100" baseline="0"/>
        </a:p>
        <a:p>
          <a:r>
            <a:rPr lang="en-US" sz="1100" baseline="0"/>
            <a:t>Sheet: Drag Rise.  The shape of the transonic drag rise curve according a set of variables selected by the user</a:t>
          </a:r>
        </a:p>
        <a:p>
          <a:r>
            <a:rPr lang="en-US" sz="1100" baseline="0"/>
            <a:t>Sheet: HS Drag Map.  Drag map and derivative figures.  See instructions on that page for inputting aerodynamic and geometric data</a:t>
          </a:r>
        </a:p>
        <a:p>
          <a:r>
            <a:rPr lang="en-US" sz="1100" baseline="0"/>
            <a:t>Sheet: LS Polars.  C</a:t>
          </a:r>
          <a:r>
            <a:rPr lang="en-US" sz="1100" baseline="-25000"/>
            <a:t>D</a:t>
          </a:r>
          <a:r>
            <a:rPr lang="en-US" sz="1100" baseline="0"/>
            <a:t> vs. C</a:t>
          </a:r>
          <a:r>
            <a:rPr lang="en-US" sz="1100" baseline="-25000"/>
            <a:t>L</a:t>
          </a:r>
          <a:r>
            <a:rPr lang="en-US" sz="1100" baseline="0"/>
            <a:t>, and  L/D vs. C</a:t>
          </a:r>
          <a:r>
            <a:rPr lang="en-US" sz="1100" baseline="-25000"/>
            <a:t>L</a:t>
          </a:r>
          <a:r>
            <a:rPr lang="en-US" sz="1100" baseline="0"/>
            <a:t>, both for different flap settings .  Inputs to this sheet are independent of previous sheets.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561975</xdr:colOff>
      <xdr:row>2</xdr:row>
      <xdr:rowOff>57151</xdr:rowOff>
    </xdr:from>
    <xdr:to>
      <xdr:col>21</xdr:col>
      <xdr:colOff>142875</xdr:colOff>
      <xdr:row>24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0</xdr:row>
      <xdr:rowOff>53341</xdr:rowOff>
    </xdr:from>
    <xdr:to>
      <xdr:col>8</xdr:col>
      <xdr:colOff>371475</xdr:colOff>
      <xdr:row>7</xdr:row>
      <xdr:rowOff>83820</xdr:rowOff>
    </xdr:to>
    <xdr:sp macro="" textlink="">
      <xdr:nvSpPr>
        <xdr:cNvPr id="3" name="TextBox 2"/>
        <xdr:cNvSpPr txBox="1"/>
      </xdr:nvSpPr>
      <xdr:spPr>
        <a:xfrm>
          <a:off x="133350" y="53341"/>
          <a:ext cx="5114925" cy="1310639"/>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an attempt</a:t>
          </a:r>
          <a:r>
            <a:rPr lang="en-US" sz="1100" baseline="0"/>
            <a:t> to fit an exponential function to the desired shape for transonic drag rise for a commercial airliner. For this shape</a:t>
          </a:r>
        </a:p>
        <a:p>
          <a:r>
            <a:rPr lang="en-US" sz="1100" baseline="0"/>
            <a:t> y = C((x+A)/B)^exp1 + E(x +D)^exp2  </a:t>
          </a:r>
        </a:p>
        <a:p>
          <a:r>
            <a:rPr lang="en-US" sz="1100" baseline="0"/>
            <a:t>works reasonably well (x = M - M</a:t>
          </a:r>
          <a:r>
            <a:rPr lang="en-US" sz="1100" baseline="-25000"/>
            <a:t>DD</a:t>
          </a:r>
          <a:r>
            <a:rPr lang="en-US" sz="1100" baseline="0"/>
            <a:t>). Values of variables (shown in </a:t>
          </a:r>
          <a:r>
            <a:rPr lang="en-US" sz="1100" baseline="0">
              <a:solidFill>
                <a:srgbClr val="FF0000"/>
              </a:solidFill>
            </a:rPr>
            <a:t>red</a:t>
          </a:r>
          <a:r>
            <a:rPr lang="en-US" sz="1100" baseline="0"/>
            <a:t> below) are adjusted to match desired shape of power function curve.</a:t>
          </a:r>
        </a:p>
        <a:p>
          <a:r>
            <a:rPr lang="en-US" sz="1100" baseline="0"/>
            <a:t>In reality, the drag rise curve can take on many shapes (see numerous examples in Obert) depending on the particular wing design.</a:t>
          </a:r>
          <a:endParaRPr lang="en-US" sz="1100"/>
        </a:p>
      </xdr:txBody>
    </xdr:sp>
    <xdr:clientData/>
  </xdr:twoCellAnchor>
  <xdr:oneCellAnchor>
    <xdr:from>
      <xdr:col>1</xdr:col>
      <xdr:colOff>198120</xdr:colOff>
      <xdr:row>26</xdr:row>
      <xdr:rowOff>121920</xdr:rowOff>
    </xdr:from>
    <xdr:ext cx="184731" cy="264560"/>
    <xdr:sp macro="" textlink="">
      <xdr:nvSpPr>
        <xdr:cNvPr id="4" name="TextBox 3"/>
        <xdr:cNvSpPr txBox="1"/>
      </xdr:nvSpPr>
      <xdr:spPr>
        <a:xfrm>
          <a:off x="807720" y="48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3</xdr:col>
      <xdr:colOff>7620</xdr:colOff>
      <xdr:row>23</xdr:row>
      <xdr:rowOff>175260</xdr:rowOff>
    </xdr:from>
    <xdr:to>
      <xdr:col>7</xdr:col>
      <xdr:colOff>7620</xdr:colOff>
      <xdr:row>28</xdr:row>
      <xdr:rowOff>83820</xdr:rowOff>
    </xdr:to>
    <xdr:sp macro="" textlink="">
      <xdr:nvSpPr>
        <xdr:cNvPr id="5" name="TextBox 4"/>
        <xdr:cNvSpPr txBox="1"/>
      </xdr:nvSpPr>
      <xdr:spPr>
        <a:xfrm>
          <a:off x="1836420" y="4381500"/>
          <a:ext cx="2438400" cy="82296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 on whether the</a:t>
          </a:r>
          <a:r>
            <a:rPr lang="en-US" sz="1100" baseline="0"/>
            <a:t> Power Function meets the Douglas definition (dC</a:t>
          </a:r>
          <a:r>
            <a:rPr lang="en-US" sz="1100" baseline="-25000"/>
            <a:t>D</a:t>
          </a:r>
          <a:r>
            <a:rPr lang="en-US" sz="1100" baseline="0"/>
            <a:t>/dM = 0.1) or Boeing definition (</a:t>
          </a:r>
          <a:r>
            <a:rPr lang="el-GR" sz="1100" baseline="0">
              <a:latin typeface="Calibri" panose="020F0502020204030204" pitchFamily="34" charset="0"/>
              <a:cs typeface="Calibri" panose="020F0502020204030204" pitchFamily="34" charset="0"/>
            </a:rPr>
            <a:t>Δ</a:t>
          </a:r>
          <a:r>
            <a:rPr lang="en-US" sz="1100" baseline="0">
              <a:latin typeface="Calibri" panose="020F0502020204030204" pitchFamily="34" charset="0"/>
              <a:cs typeface="Calibri" panose="020F0502020204030204" pitchFamily="34" charset="0"/>
            </a:rPr>
            <a:t>C</a:t>
          </a:r>
          <a:r>
            <a:rPr lang="en-US" sz="1100" baseline="-25000">
              <a:latin typeface="Calibri" panose="020F0502020204030204" pitchFamily="34" charset="0"/>
              <a:cs typeface="Calibri" panose="020F0502020204030204" pitchFamily="34" charset="0"/>
            </a:rPr>
            <a:t>D</a:t>
          </a:r>
          <a:r>
            <a:rPr lang="en-US" sz="1100" baseline="-40000">
              <a:latin typeface="Calibri" panose="020F0502020204030204" pitchFamily="34" charset="0"/>
              <a:cs typeface="Calibri" panose="020F0502020204030204" pitchFamily="34" charset="0"/>
            </a:rPr>
            <a:t>C</a:t>
          </a:r>
          <a:r>
            <a:rPr lang="en-US" sz="1100" baseline="0">
              <a:latin typeface="Calibri" panose="020F0502020204030204" pitchFamily="34" charset="0"/>
              <a:cs typeface="Calibri" panose="020F0502020204030204" pitchFamily="34" charset="0"/>
            </a:rPr>
            <a:t> = 0.0020) at M = M</a:t>
          </a:r>
          <a:r>
            <a:rPr lang="en-US" sz="1100" baseline="-25000">
              <a:latin typeface="Calibri" panose="020F0502020204030204" pitchFamily="34" charset="0"/>
              <a:cs typeface="Calibri" panose="020F0502020204030204" pitchFamily="34" charset="0"/>
            </a:rPr>
            <a:t>DD</a:t>
          </a:r>
          <a:endParaRPr lang="en-US" sz="1100" baseline="-25000"/>
        </a:p>
      </xdr:txBody>
    </xdr:sp>
    <xdr:clientData/>
  </xdr:twoCellAnchor>
  <xdr:twoCellAnchor>
    <xdr:from>
      <xdr:col>0</xdr:col>
      <xdr:colOff>148590</xdr:colOff>
      <xdr:row>18</xdr:row>
      <xdr:rowOff>108585</xdr:rowOff>
    </xdr:from>
    <xdr:to>
      <xdr:col>3</xdr:col>
      <xdr:colOff>339090</xdr:colOff>
      <xdr:row>22</xdr:row>
      <xdr:rowOff>171450</xdr:rowOff>
    </xdr:to>
    <xdr:sp macro="" textlink="">
      <xdr:nvSpPr>
        <xdr:cNvPr id="7" name="TextBox 6"/>
        <xdr:cNvSpPr txBox="1"/>
      </xdr:nvSpPr>
      <xdr:spPr>
        <a:xfrm>
          <a:off x="148590" y="3594735"/>
          <a:ext cx="2019300" cy="82486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a:t>
          </a:r>
          <a:r>
            <a:rPr lang="en-US" sz="1100" baseline="0"/>
            <a:t> of empirically-selected variables (shown in </a:t>
          </a:r>
          <a:r>
            <a:rPr lang="en-US" sz="1100" baseline="0">
              <a:solidFill>
                <a:srgbClr val="FF0000"/>
              </a:solidFill>
            </a:rPr>
            <a:t>red</a:t>
          </a:r>
          <a:r>
            <a:rPr lang="en-US" sz="1100" baseline="0"/>
            <a:t> above) are automatically transferred to the sheet HS Drag Map</a:t>
          </a:r>
          <a:endParaRPr lang="en-US" sz="1100"/>
        </a:p>
      </xdr:txBody>
    </xdr:sp>
    <xdr:clientData/>
  </xdr:twoCellAnchor>
  <xdr:twoCellAnchor>
    <xdr:from>
      <xdr:col>9</xdr:col>
      <xdr:colOff>19050</xdr:colOff>
      <xdr:row>27</xdr:row>
      <xdr:rowOff>9525</xdr:rowOff>
    </xdr:from>
    <xdr:to>
      <xdr:col>16</xdr:col>
      <xdr:colOff>504825</xdr:colOff>
      <xdr:row>30</xdr:row>
      <xdr:rowOff>209550</xdr:rowOff>
    </xdr:to>
    <xdr:sp macro="" textlink="">
      <xdr:nvSpPr>
        <xdr:cNvPr id="6" name="TextBox 5"/>
        <xdr:cNvSpPr txBox="1"/>
      </xdr:nvSpPr>
      <xdr:spPr>
        <a:xfrm>
          <a:off x="5572125" y="5191125"/>
          <a:ext cx="4752975" cy="809625"/>
        </a:xfrm>
        <a:prstGeom prst="rect">
          <a:avLst/>
        </a:prstGeom>
        <a:solidFill>
          <a:schemeClr val="lt1"/>
        </a:solidFill>
        <a:ln w="222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addition of Lock's 4th Power is shown for illustration only.  It is not used in this analysis, although it is used in other transonic aerodynamic modeling (e.g. see Gur, O., Mason, W.H., and Schetz, J.A., "Full-Configuration Drag Estimation", Journal of Aircraft, July-Aug, 2010).</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1800225</xdr:colOff>
      <xdr:row>111</xdr:row>
      <xdr:rowOff>9525</xdr:rowOff>
    </xdr:from>
    <xdr:to>
      <xdr:col>11</xdr:col>
      <xdr:colOff>590550</xdr:colOff>
      <xdr:row>136</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1828799</xdr:colOff>
      <xdr:row>158</xdr:row>
      <xdr:rowOff>161926</xdr:rowOff>
    </xdr:from>
    <xdr:to>
      <xdr:col>11</xdr:col>
      <xdr:colOff>571499</xdr:colOff>
      <xdr:row>184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43</xdr:row>
      <xdr:rowOff>123825</xdr:rowOff>
    </xdr:from>
    <xdr:to>
      <xdr:col>0</xdr:col>
      <xdr:colOff>1600200</xdr:colOff>
      <xdr:row>52</xdr:row>
      <xdr:rowOff>190500</xdr:rowOff>
    </xdr:to>
    <xdr:sp macro="" textlink="">
      <xdr:nvSpPr>
        <xdr:cNvPr id="4" name="TextBox 3"/>
        <xdr:cNvSpPr txBox="1"/>
      </xdr:nvSpPr>
      <xdr:spPr>
        <a:xfrm>
          <a:off x="114300" y="5495925"/>
          <a:ext cx="1485900" cy="106680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Value of M-M</a:t>
          </a:r>
          <a:r>
            <a:rPr lang="en-US" sz="1100" baseline="-25000"/>
            <a:t>DIV</a:t>
          </a:r>
          <a:r>
            <a:rPr lang="en-US" sz="1100"/>
            <a:t> .</a:t>
          </a:r>
        </a:p>
        <a:p>
          <a:r>
            <a:rPr lang="en-US" sz="1100"/>
            <a:t>M</a:t>
          </a:r>
          <a:r>
            <a:rPr lang="en-US" sz="1100" baseline="-25000"/>
            <a:t>DIV</a:t>
          </a:r>
          <a:r>
            <a:rPr lang="en-US" sz="1100"/>
            <a:t> is a function of C</a:t>
          </a:r>
          <a:r>
            <a:rPr lang="en-US" sz="1100" baseline="-25000"/>
            <a:t>L</a:t>
          </a:r>
          <a:r>
            <a:rPr lang="en-US" sz="1100" baseline="0"/>
            <a:t> in Korn =n </a:t>
          </a:r>
          <a:endParaRPr lang="en-US" sz="1100"/>
        </a:p>
        <a:p>
          <a:endParaRPr lang="en-US" sz="1100"/>
        </a:p>
      </xdr:txBody>
    </xdr:sp>
    <xdr:clientData/>
  </xdr:twoCellAnchor>
  <xdr:twoCellAnchor>
    <xdr:from>
      <xdr:col>0</xdr:col>
      <xdr:colOff>352425</xdr:colOff>
      <xdr:row>58</xdr:row>
      <xdr:rowOff>85725</xdr:rowOff>
    </xdr:from>
    <xdr:to>
      <xdr:col>0</xdr:col>
      <xdr:colOff>1666875</xdr:colOff>
      <xdr:row>68</xdr:row>
      <xdr:rowOff>19050</xdr:rowOff>
    </xdr:to>
    <xdr:sp macro="" textlink="">
      <xdr:nvSpPr>
        <xdr:cNvPr id="5" name="TextBox 4"/>
        <xdr:cNvSpPr txBox="1"/>
      </xdr:nvSpPr>
      <xdr:spPr>
        <a:xfrm>
          <a:off x="352425" y="7134225"/>
          <a:ext cx="1314450" cy="10763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Delta C</a:t>
          </a:r>
          <a:r>
            <a:rPr lang="en-US" sz="1100" baseline="-25000"/>
            <a:t>DC</a:t>
          </a:r>
          <a:r>
            <a:rPr lang="en-US" sz="1100"/>
            <a:t>, using empirical</a:t>
          </a:r>
          <a:r>
            <a:rPr lang="en-US" sz="1100" baseline="0"/>
            <a:t> equation  on sheet "CDC calc"</a:t>
          </a:r>
          <a:endParaRPr lang="en-US" sz="1100"/>
        </a:p>
      </xdr:txBody>
    </xdr:sp>
    <xdr:clientData/>
  </xdr:twoCellAnchor>
  <xdr:twoCellAnchor>
    <xdr:from>
      <xdr:col>0</xdr:col>
      <xdr:colOff>304800</xdr:colOff>
      <xdr:row>26</xdr:row>
      <xdr:rowOff>180975</xdr:rowOff>
    </xdr:from>
    <xdr:to>
      <xdr:col>0</xdr:col>
      <xdr:colOff>1657350</xdr:colOff>
      <xdr:row>37</xdr:row>
      <xdr:rowOff>0</xdr:rowOff>
    </xdr:to>
    <xdr:sp macro="" textlink="">
      <xdr:nvSpPr>
        <xdr:cNvPr id="6" name="TextBox 5"/>
        <xdr:cNvSpPr txBox="1"/>
      </xdr:nvSpPr>
      <xdr:spPr>
        <a:xfrm>
          <a:off x="304800" y="3429000"/>
          <a:ext cx="1352550" cy="11525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L/D vs. C</a:t>
          </a:r>
          <a:r>
            <a:rPr lang="en-US" sz="1100" baseline="-25000"/>
            <a:t>L</a:t>
          </a:r>
          <a:r>
            <a:rPr lang="en-US" sz="1100"/>
            <a:t> for different Mach</a:t>
          </a:r>
        </a:p>
      </xdr:txBody>
    </xdr:sp>
    <xdr:clientData/>
  </xdr:twoCellAnchor>
  <xdr:twoCellAnchor>
    <xdr:from>
      <xdr:col>0</xdr:col>
      <xdr:colOff>238125</xdr:colOff>
      <xdr:row>77</xdr:row>
      <xdr:rowOff>38100</xdr:rowOff>
    </xdr:from>
    <xdr:to>
      <xdr:col>0</xdr:col>
      <xdr:colOff>1571625</xdr:colOff>
      <xdr:row>88</xdr:row>
      <xdr:rowOff>152400</xdr:rowOff>
    </xdr:to>
    <xdr:sp macro="" textlink="">
      <xdr:nvSpPr>
        <xdr:cNvPr id="8" name="TextBox 7"/>
        <xdr:cNvSpPr txBox="1"/>
      </xdr:nvSpPr>
      <xdr:spPr>
        <a:xfrm>
          <a:off x="238125" y="9963150"/>
          <a:ext cx="1333500" cy="12573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a:t>
          </a:r>
          <a:r>
            <a:rPr lang="en-US" sz="1100"/>
            <a:t> vs.</a:t>
          </a:r>
          <a:r>
            <a:rPr lang="en-US" sz="1100" baseline="0"/>
            <a:t> Mach Number for various C</a:t>
          </a:r>
          <a:r>
            <a:rPr lang="en-US" sz="1100" baseline="-25000"/>
            <a:t>L</a:t>
          </a:r>
        </a:p>
      </xdr:txBody>
    </xdr:sp>
    <xdr:clientData/>
  </xdr:twoCellAnchor>
  <xdr:twoCellAnchor>
    <xdr:from>
      <xdr:col>3</xdr:col>
      <xdr:colOff>426720</xdr:colOff>
      <xdr:row>11</xdr:row>
      <xdr:rowOff>9525</xdr:rowOff>
    </xdr:from>
    <xdr:to>
      <xdr:col>10</xdr:col>
      <xdr:colOff>247650</xdr:colOff>
      <xdr:row>21</xdr:row>
      <xdr:rowOff>142876</xdr:rowOff>
    </xdr:to>
    <mc:AlternateContent xmlns:mc="http://schemas.openxmlformats.org/markup-compatibility/2006">
      <mc:Choice xmlns:a14="http://schemas.microsoft.com/office/drawing/2010/main" Requires="a14">
        <xdr:sp macro="" textlink="">
          <xdr:nvSpPr>
            <xdr:cNvPr id="9" name="TextBox 8"/>
            <xdr:cNvSpPr txBox="1"/>
          </xdr:nvSpPr>
          <xdr:spPr>
            <a:xfrm>
              <a:off x="3474720" y="2152650"/>
              <a:ext cx="4535805" cy="2047876"/>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14:m>
                <m:oMathPara xmlns:m="http://schemas.openxmlformats.org/officeDocument/2006/math">
                  <m:oMathParaPr>
                    <m:jc m:val="centerGroup"/>
                  </m:oMathParaPr>
                  <m:oMath xmlns:m="http://schemas.openxmlformats.org/officeDocument/2006/math">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𝑀</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𝐷𝐷</m:t>
                        </m:r>
                      </m:sub>
                    </m:s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 </m:t>
                    </m:r>
                    <m:f>
                      <m:fPr>
                        <m:ctrlPr>
                          <a:rPr lang="en-US" sz="1400" i="1">
                            <a:effectLst/>
                            <a:latin typeface="Cambria Math" panose="02040503050406030204" pitchFamily="18" charset="0"/>
                          </a:rPr>
                        </m:ctrlPr>
                      </m:fPr>
                      <m:num>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𝜅</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𝑎</m:t>
                            </m:r>
                          </m:sub>
                        </m:sSub>
                      </m:num>
                      <m:den>
                        <m:func>
                          <m:funcPr>
                            <m:ctrlPr>
                              <a:rPr lang="en-US" sz="1400" i="1">
                                <a:effectLst/>
                                <a:latin typeface="Cambria Math" panose="02040503050406030204" pitchFamily="18" charset="0"/>
                              </a:rPr>
                            </m:ctrlPr>
                          </m:funcPr>
                          <m:fName>
                            <m:r>
                              <m:rPr>
                                <m:sty m:val="p"/>
                              </m:rPr>
                              <a:rPr lang="en-US" sz="1400">
                                <a:effectLst/>
                                <a:latin typeface="Cambria Math" panose="02040503050406030204" pitchFamily="18" charset="0"/>
                                <a:ea typeface="Times New Roman" panose="02020603050405020304" pitchFamily="18" charset="0"/>
                                <a:cs typeface="Times New Roman" panose="02020603050405020304" pitchFamily="18" charset="0"/>
                              </a:rPr>
                              <m:t>cos</m:t>
                            </m:r>
                          </m:fName>
                          <m:e>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𝛬</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m:t>
                                </m:r>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/2</m:t>
                                </m:r>
                              </m:sub>
                            </m:sSub>
                          </m:e>
                        </m:func>
                      </m:den>
                    </m:f>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m:t>
                    </m:r>
                    <m:f>
                      <m:fPr>
                        <m:ctrlPr>
                          <a:rPr lang="en-US" sz="1400" i="1">
                            <a:effectLst/>
                            <a:latin typeface="Cambria Math" panose="02040503050406030204" pitchFamily="18" charset="0"/>
                          </a:rPr>
                        </m:ctrlPr>
                      </m:fPr>
                      <m:num>
                        <m:f>
                          <m:fPr>
                            <m:ctrlPr>
                              <a:rPr lang="en-US" sz="1400" i="1">
                                <a:effectLst/>
                                <a:latin typeface="Cambria Math" panose="02040503050406030204" pitchFamily="18" charset="0"/>
                              </a:rPr>
                            </m:ctrlPr>
                          </m:fPr>
                          <m:num>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𝑡</m:t>
                            </m:r>
                          </m:num>
                          <m:den>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m:t>
                            </m:r>
                          </m:den>
                        </m:f>
                      </m:num>
                      <m:den>
                        <m:sSup>
                          <m:sSupPr>
                            <m:ctrlPr>
                              <a:rPr lang="en-US" sz="1400" i="1">
                                <a:effectLst/>
                                <a:latin typeface="Cambria Math" panose="02040503050406030204" pitchFamily="18" charset="0"/>
                              </a:rPr>
                            </m:ctrlPr>
                          </m:sSup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𝑐𝑜𝑠</m:t>
                            </m:r>
                          </m:e>
                          <m:sup>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2</m:t>
                            </m:r>
                          </m:sup>
                        </m:sSup>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𝛬</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m:t>
                            </m:r>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/2</m:t>
                            </m:r>
                          </m:sub>
                        </m:sSub>
                      </m:den>
                    </m:f>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 </m:t>
                    </m:r>
                    <m:f>
                      <m:fPr>
                        <m:ctrlPr>
                          <a:rPr lang="en-US" sz="1400" i="1">
                            <a:effectLst/>
                            <a:latin typeface="Cambria Math" panose="02040503050406030204" pitchFamily="18" charset="0"/>
                          </a:rPr>
                        </m:ctrlPr>
                      </m:fPr>
                      <m:num>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𝐶</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𝑙</m:t>
                            </m:r>
                          </m:sub>
                        </m:sSub>
                      </m:num>
                      <m:den>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10 </m:t>
                        </m:r>
                        <m:sSup>
                          <m:sSupPr>
                            <m:ctrlPr>
                              <a:rPr lang="en-US" sz="1400" i="1">
                                <a:effectLst/>
                                <a:latin typeface="Cambria Math" panose="02040503050406030204" pitchFamily="18" charset="0"/>
                              </a:rPr>
                            </m:ctrlPr>
                          </m:sSup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𝑐𝑜𝑠</m:t>
                            </m:r>
                          </m:e>
                          <m:sup>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3 </m:t>
                            </m:r>
                          </m:sup>
                        </m:sSup>
                        <m:sSub>
                          <m:sSubPr>
                            <m:ctrlPr>
                              <a:rPr lang="en-US" sz="1400" i="1">
                                <a:effectLst/>
                                <a:latin typeface="Cambria Math" panose="02040503050406030204" pitchFamily="18" charset="0"/>
                              </a:rPr>
                            </m:ctrlPr>
                          </m:sSubPr>
                          <m:e>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𝛬</m:t>
                            </m:r>
                          </m:e>
                          <m:sub>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𝑐</m:t>
                            </m:r>
                            <m:r>
                              <a:rPr lang="en-US" sz="1400" i="1">
                                <a:effectLst/>
                                <a:latin typeface="Cambria Math" panose="02040503050406030204" pitchFamily="18" charset="0"/>
                                <a:ea typeface="Times New Roman" panose="02020603050405020304" pitchFamily="18" charset="0"/>
                                <a:cs typeface="Times New Roman" panose="02020603050405020304" pitchFamily="18" charset="0"/>
                              </a:rPr>
                              <m:t>/2</m:t>
                            </m:r>
                          </m:sub>
                        </m:sSub>
                      </m:den>
                    </m:f>
                  </m:oMath>
                </m:oMathPara>
              </a14:m>
              <a:endParaRPr lang="en-US" sz="1400" baseline="0"/>
            </a:p>
            <a:p>
              <a:endParaRPr lang="en-US" sz="1100" baseline="0"/>
            </a:p>
            <a:p>
              <a:r>
                <a:rPr lang="en-US" sz="1100" baseline="0"/>
                <a:t>## Value of (M</a:t>
              </a:r>
              <a:r>
                <a:rPr lang="en-US" sz="1100" baseline="-25000"/>
                <a:t>DD</a:t>
              </a:r>
              <a:r>
                <a:rPr lang="en-US" sz="1100" baseline="0"/>
                <a:t>)</a:t>
              </a:r>
              <a:r>
                <a:rPr lang="en-US" sz="1100" baseline="-25000"/>
                <a:t>Douglas</a:t>
              </a:r>
              <a:r>
                <a:rPr lang="en-US" sz="1100" baseline="0"/>
                <a:t> from modified extended Korn =n (Gundlach =n 5.5)</a:t>
              </a:r>
            </a:p>
            <a:p>
              <a:r>
                <a:rPr lang="en-US" sz="1100" baseline="0"/>
                <a:t>## </a:t>
              </a:r>
              <a:r>
                <a:rPr lang="el-GR" sz="1100" baseline="0"/>
                <a:t>Δ</a:t>
              </a:r>
              <a:r>
                <a:rPr lang="en-US" sz="1100" baseline="0"/>
                <a:t>C</a:t>
              </a:r>
              <a:r>
                <a:rPr lang="en-US" sz="1100" baseline="-25000"/>
                <a:t>DC</a:t>
              </a:r>
              <a:r>
                <a:rPr lang="en-US" sz="1100" baseline="0"/>
                <a:t> is derived from sheet Drag Rise</a:t>
              </a:r>
            </a:p>
            <a:p>
              <a:r>
                <a:rPr lang="en-US" sz="1100" baseline="0"/>
                <a:t>## Ka is a function of wing section technology (Gundlach suggests 0.87 for a non-supercritical section and 0.95 for a supercritical section.  This value may be increased by about 0.005 per decade  (starting from design go-ahead in 2010) </a:t>
              </a:r>
            </a:p>
            <a:p>
              <a:endParaRPr lang="en-US" sz="1100"/>
            </a:p>
          </xdr:txBody>
        </xdr:sp>
      </mc:Choice>
      <mc:Fallback>
        <xdr:sp macro="" textlink="">
          <xdr:nvSpPr>
            <xdr:cNvPr id="9" name="TextBox 8"/>
            <xdr:cNvSpPr txBox="1"/>
          </xdr:nvSpPr>
          <xdr:spPr>
            <a:xfrm>
              <a:off x="3474720" y="2152650"/>
              <a:ext cx="4535805" cy="2047876"/>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i="0">
                  <a:effectLst/>
                  <a:latin typeface="Cambria Math" panose="02040503050406030204" pitchFamily="18" charset="0"/>
                  <a:ea typeface="Times New Roman" panose="02020603050405020304" pitchFamily="18" charset="0"/>
                  <a:cs typeface="Times New Roman" panose="02020603050405020304" pitchFamily="18" charset="0"/>
                </a:rPr>
                <a:t>𝑀_𝐷𝐷= </a:t>
              </a:r>
              <a:r>
                <a:rPr lang="en-US" sz="1400" i="0">
                  <a:effectLst/>
                  <a:latin typeface="Cambria Math" panose="02040503050406030204" pitchFamily="18" charset="0"/>
                </a:rPr>
                <a:t> </a:t>
              </a:r>
              <a:r>
                <a:rPr lang="en-US" sz="1400" i="0">
                  <a:effectLst/>
                  <a:latin typeface="Cambria Math" panose="02040503050406030204" pitchFamily="18" charset="0"/>
                  <a:ea typeface="Times New Roman" panose="02020603050405020304" pitchFamily="18" charset="0"/>
                  <a:cs typeface="Times New Roman" panose="02020603050405020304" pitchFamily="18" charset="0"/>
                </a:rPr>
                <a:t>𝜅_𝑎/cos⁡〖𝛬_(𝑐/2) 〗 −</a:t>
              </a:r>
              <a:r>
                <a:rPr lang="en-US" sz="1400" i="0">
                  <a:effectLst/>
                  <a:latin typeface="Cambria Math" panose="02040503050406030204" pitchFamily="18" charset="0"/>
                </a:rPr>
                <a:t>(</a:t>
              </a:r>
              <a:r>
                <a:rPr lang="en-US" sz="1400" i="0">
                  <a:effectLst/>
                  <a:latin typeface="Cambria Math" panose="02040503050406030204" pitchFamily="18" charset="0"/>
                  <a:ea typeface="Times New Roman" panose="02020603050405020304" pitchFamily="18" charset="0"/>
                  <a:cs typeface="Times New Roman" panose="02020603050405020304" pitchFamily="18" charset="0"/>
                </a:rPr>
                <a:t>𝑡/𝑐)/(〖𝑐𝑜𝑠〗^2 𝛬_(𝑐/2) )− </a:t>
              </a:r>
              <a:r>
                <a:rPr lang="en-US" sz="1400" i="0">
                  <a:effectLst/>
                  <a:latin typeface="Cambria Math" panose="02040503050406030204" pitchFamily="18" charset="0"/>
                </a:rPr>
                <a:t> </a:t>
              </a:r>
              <a:r>
                <a:rPr lang="en-US" sz="1400" i="0">
                  <a:effectLst/>
                  <a:latin typeface="Cambria Math" panose="02040503050406030204" pitchFamily="18" charset="0"/>
                  <a:ea typeface="Times New Roman" panose="02020603050405020304" pitchFamily="18" charset="0"/>
                  <a:cs typeface="Times New Roman" panose="02020603050405020304" pitchFamily="18" charset="0"/>
                </a:rPr>
                <a:t>𝐶_𝑙/(10 〖𝑐𝑜𝑠〗^(3 ) 𝛬_(𝑐/2) )</a:t>
              </a:r>
              <a:endParaRPr lang="en-US" sz="1400" baseline="0"/>
            </a:p>
            <a:p>
              <a:endParaRPr lang="en-US" sz="1100" baseline="0"/>
            </a:p>
            <a:p>
              <a:r>
                <a:rPr lang="en-US" sz="1100" baseline="0"/>
                <a:t>## Value of (M</a:t>
              </a:r>
              <a:r>
                <a:rPr lang="en-US" sz="1100" baseline="-25000"/>
                <a:t>DD</a:t>
              </a:r>
              <a:r>
                <a:rPr lang="en-US" sz="1100" baseline="0"/>
                <a:t>)</a:t>
              </a:r>
              <a:r>
                <a:rPr lang="en-US" sz="1100" baseline="-25000"/>
                <a:t>Douglas</a:t>
              </a:r>
              <a:r>
                <a:rPr lang="en-US" sz="1100" baseline="0"/>
                <a:t> from modified extended Korn =n (Gundlach =n 5.5)</a:t>
              </a:r>
            </a:p>
            <a:p>
              <a:r>
                <a:rPr lang="en-US" sz="1100" baseline="0"/>
                <a:t>## </a:t>
              </a:r>
              <a:r>
                <a:rPr lang="el-GR" sz="1100" baseline="0"/>
                <a:t>Δ</a:t>
              </a:r>
              <a:r>
                <a:rPr lang="en-US" sz="1100" baseline="0"/>
                <a:t>C</a:t>
              </a:r>
              <a:r>
                <a:rPr lang="en-US" sz="1100" baseline="-25000"/>
                <a:t>DC</a:t>
              </a:r>
              <a:r>
                <a:rPr lang="en-US" sz="1100" baseline="0"/>
                <a:t> is derived from sheet Drag Rise</a:t>
              </a:r>
            </a:p>
            <a:p>
              <a:r>
                <a:rPr lang="en-US" sz="1100" baseline="0"/>
                <a:t>## Ka is a function of wing section technology (Gundlach suggests 0.87 for a non-supercritical section and 0.95 for a supercritical section.  This value may be increased by about 0.005 per decade  (starting from design go-ahead in 2010) </a:t>
              </a:r>
            </a:p>
            <a:p>
              <a:endParaRPr lang="en-US" sz="1100"/>
            </a:p>
          </xdr:txBody>
        </xdr:sp>
      </mc:Fallback>
    </mc:AlternateContent>
    <xdr:clientData/>
  </xdr:twoCellAnchor>
  <xdr:twoCellAnchor>
    <xdr:from>
      <xdr:col>2</xdr:col>
      <xdr:colOff>469634</xdr:colOff>
      <xdr:row>19</xdr:row>
      <xdr:rowOff>174748</xdr:rowOff>
    </xdr:from>
    <xdr:to>
      <xdr:col>3</xdr:col>
      <xdr:colOff>127857</xdr:colOff>
      <xdr:row>25</xdr:row>
      <xdr:rowOff>48256</xdr:rowOff>
    </xdr:to>
    <xdr:sp macro="" textlink="">
      <xdr:nvSpPr>
        <xdr:cNvPr id="11" name="Down Arrow 10"/>
        <xdr:cNvSpPr/>
      </xdr:nvSpPr>
      <xdr:spPr>
        <a:xfrm rot="2326860">
          <a:off x="2961374" y="2018788"/>
          <a:ext cx="267823"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9</xdr:col>
      <xdr:colOff>478155</xdr:colOff>
      <xdr:row>0</xdr:row>
      <xdr:rowOff>64770</xdr:rowOff>
    </xdr:from>
    <xdr:to>
      <xdr:col>21</xdr:col>
      <xdr:colOff>339090</xdr:colOff>
      <xdr:row>8</xdr:row>
      <xdr:rowOff>188595</xdr:rowOff>
    </xdr:to>
    <xdr:sp macro="" textlink="">
      <xdr:nvSpPr>
        <xdr:cNvPr id="12" name="TextBox 11"/>
        <xdr:cNvSpPr txBox="1"/>
      </xdr:nvSpPr>
      <xdr:spPr>
        <a:xfrm>
          <a:off x="7631430" y="64770"/>
          <a:ext cx="7176135" cy="16478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Generating</a:t>
          </a:r>
          <a:r>
            <a:rPr lang="en-US" sz="1100" baseline="0"/>
            <a:t> L/D vs C</a:t>
          </a:r>
          <a:r>
            <a:rPr lang="en-US" sz="1100" baseline="-25000"/>
            <a:t>L</a:t>
          </a:r>
          <a:r>
            <a:rPr lang="en-US" sz="1100" baseline="0"/>
            <a:t> and ML/D vs C</a:t>
          </a:r>
          <a:r>
            <a:rPr lang="en-US" sz="1100" baseline="-25000"/>
            <a:t>L</a:t>
          </a:r>
          <a:r>
            <a:rPr lang="en-US" sz="1100" baseline="0"/>
            <a:t> plots for different values of Mach:</a:t>
          </a:r>
          <a:endParaRPr lang="en-US" sz="1100"/>
        </a:p>
        <a:p>
          <a:r>
            <a:rPr lang="en-US" sz="1100"/>
            <a:t>1.  For selected</a:t>
          </a:r>
          <a:r>
            <a:rPr lang="en-US" sz="1100" baseline="0"/>
            <a:t> values of AR, e, </a:t>
          </a:r>
          <a:r>
            <a:rPr lang="el-GR" sz="1100" baseline="0">
              <a:latin typeface="Calibri" panose="020F0502020204030204" pitchFamily="34" charset="0"/>
              <a:cs typeface="Calibri" panose="020F0502020204030204" pitchFamily="34" charset="0"/>
            </a:rPr>
            <a:t>Λ</a:t>
          </a:r>
          <a:r>
            <a:rPr lang="en-US" sz="1100" baseline="0"/>
            <a:t>, t/c, </a:t>
          </a:r>
          <a:r>
            <a:rPr lang="el-GR" sz="1100" baseline="0">
              <a:latin typeface="Calibri" panose="020F0502020204030204" pitchFamily="34" charset="0"/>
              <a:cs typeface="Calibri" panose="020F0502020204030204" pitchFamily="34" charset="0"/>
            </a:rPr>
            <a:t>λ</a:t>
          </a:r>
          <a:r>
            <a:rPr lang="en-US" sz="1100" baseline="0">
              <a:latin typeface="Calibri" panose="020F0502020204030204" pitchFamily="34" charset="0"/>
              <a:cs typeface="Calibri" panose="020F0502020204030204" pitchFamily="34" charset="0"/>
            </a:rPr>
            <a:t>, and Ka, </a:t>
          </a:r>
          <a:r>
            <a:rPr lang="en-US" sz="1100" baseline="0"/>
            <a:t>calculate M</a:t>
          </a:r>
          <a:r>
            <a:rPr lang="en-US" sz="1100" baseline="-25000"/>
            <a:t>DIV</a:t>
          </a:r>
          <a:r>
            <a:rPr lang="en-US" sz="1100" baseline="0"/>
            <a:t> as a function of C</a:t>
          </a:r>
          <a:r>
            <a:rPr lang="en-US" sz="1100" baseline="-25000"/>
            <a:t>L </a:t>
          </a:r>
          <a:r>
            <a:rPr lang="en-US" sz="1100" baseline="0"/>
            <a:t> using modified  Korn =n</a:t>
          </a:r>
          <a:r>
            <a:rPr lang="en-US" sz="1100" baseline="-25000"/>
            <a:t> </a:t>
          </a:r>
        </a:p>
        <a:p>
          <a:r>
            <a:rPr lang="en-US" sz="1100" baseline="0"/>
            <a:t>2.  Tabulate (M - M</a:t>
          </a:r>
          <a:r>
            <a:rPr lang="en-US" sz="1100" baseline="-25000"/>
            <a:t>DIV</a:t>
          </a:r>
          <a:r>
            <a:rPr lang="en-US" sz="1100" baseline="0"/>
            <a:t>) as a function of Mach and C</a:t>
          </a:r>
          <a:r>
            <a:rPr lang="en-US" sz="1100" baseline="-25000"/>
            <a:t>L</a:t>
          </a:r>
          <a:r>
            <a:rPr lang="en-US" sz="1100" baseline="0"/>
            <a:t> (see 2nd  table)</a:t>
          </a:r>
        </a:p>
        <a:p>
          <a:r>
            <a:rPr lang="en-US" sz="1100" baseline="0"/>
            <a:t>3.  Tabulate </a:t>
          </a:r>
          <a:r>
            <a:rPr lang="el-GR" sz="1100" baseline="0"/>
            <a:t>Δ</a:t>
          </a:r>
          <a:r>
            <a:rPr lang="en-US" sz="1100" baseline="0"/>
            <a:t>C</a:t>
          </a:r>
          <a:r>
            <a:rPr lang="en-US" sz="1100" baseline="-25000"/>
            <a:t>DC</a:t>
          </a:r>
          <a:r>
            <a:rPr lang="en-US" sz="1100" baseline="0"/>
            <a:t> using empirical equation  (see 3rd table)</a:t>
          </a:r>
        </a:p>
        <a:p>
          <a:r>
            <a:rPr lang="en-US" sz="1100" baseline="0"/>
            <a:t>4.  Tabulate C</a:t>
          </a:r>
          <a:r>
            <a:rPr lang="en-US" sz="1100" baseline="-25000"/>
            <a:t>D</a:t>
          </a:r>
          <a:r>
            <a:rPr lang="en-US" sz="1100" baseline="0"/>
            <a:t> vs C</a:t>
          </a:r>
          <a:r>
            <a:rPr lang="en-US" sz="1100" baseline="-25000"/>
            <a:t>L</a:t>
          </a:r>
          <a:r>
            <a:rPr lang="en-US" sz="1100" baseline="0"/>
            <a:t> for incompressible flow and add  </a:t>
          </a:r>
          <a:r>
            <a:rPr lang="el-GR" sz="1100" baseline="0">
              <a:solidFill>
                <a:schemeClr val="dk1"/>
              </a:solidFill>
              <a:latin typeface="+mn-lt"/>
              <a:ea typeface="+mn-ea"/>
              <a:cs typeface="+mn-cs"/>
            </a:rPr>
            <a:t>Δ</a:t>
          </a:r>
          <a:r>
            <a:rPr lang="en-US" sz="1100" baseline="0">
              <a:solidFill>
                <a:schemeClr val="dk1"/>
              </a:solidFill>
              <a:latin typeface="+mn-lt"/>
              <a:ea typeface="+mn-ea"/>
              <a:cs typeface="+mn-cs"/>
            </a:rPr>
            <a:t>C</a:t>
          </a:r>
          <a:r>
            <a:rPr lang="en-US" sz="1100" baseline="-25000">
              <a:solidFill>
                <a:schemeClr val="dk1"/>
              </a:solidFill>
              <a:latin typeface="+mn-lt"/>
              <a:ea typeface="+mn-ea"/>
              <a:cs typeface="+mn-cs"/>
            </a:rPr>
            <a:t>DC</a:t>
          </a:r>
          <a:r>
            <a:rPr lang="en-US" sz="1100" baseline="0">
              <a:solidFill>
                <a:schemeClr val="dk1"/>
              </a:solidFill>
              <a:latin typeface="+mn-lt"/>
              <a:ea typeface="+mn-ea"/>
              <a:cs typeface="+mn-cs"/>
            </a:rPr>
            <a:t>  (4th table), then plot C</a:t>
          </a:r>
          <a:r>
            <a:rPr lang="en-US" sz="1100" baseline="-25000">
              <a:solidFill>
                <a:schemeClr val="dk1"/>
              </a:solidFill>
              <a:latin typeface="+mn-lt"/>
              <a:ea typeface="+mn-ea"/>
              <a:cs typeface="+mn-cs"/>
            </a:rPr>
            <a:t>D</a:t>
          </a:r>
          <a:r>
            <a:rPr lang="en-US" sz="1100" baseline="0">
              <a:solidFill>
                <a:schemeClr val="dk1"/>
              </a:solidFill>
              <a:latin typeface="+mn-lt"/>
              <a:ea typeface="+mn-ea"/>
              <a:cs typeface="+mn-cs"/>
            </a:rPr>
            <a:t> vs Mach as fn of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(see plot below)</a:t>
          </a:r>
        </a:p>
        <a:p>
          <a:r>
            <a:rPr lang="en-US" sz="1100" baseline="0">
              <a:solidFill>
                <a:schemeClr val="dk1"/>
              </a:solidFill>
              <a:latin typeface="+mn-lt"/>
              <a:ea typeface="+mn-ea"/>
              <a:cs typeface="+mn-cs"/>
            </a:rPr>
            <a:t>5.  Tabulate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/C</a:t>
          </a:r>
          <a:r>
            <a:rPr lang="en-US" sz="1100" baseline="-25000">
              <a:solidFill>
                <a:schemeClr val="dk1"/>
              </a:solidFill>
              <a:latin typeface="+mn-lt"/>
              <a:ea typeface="+mn-ea"/>
              <a:cs typeface="+mn-cs"/>
            </a:rPr>
            <a:t>D</a:t>
          </a:r>
          <a:r>
            <a:rPr lang="en-US" sz="1100" baseline="0">
              <a:solidFill>
                <a:schemeClr val="dk1"/>
              </a:solidFill>
              <a:latin typeface="+mn-lt"/>
              <a:ea typeface="+mn-ea"/>
              <a:cs typeface="+mn-cs"/>
            </a:rPr>
            <a:t> and plot L/D vs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as a fn of Mach number (see LHS plot)</a:t>
          </a:r>
          <a:endParaRPr lang="en-US" sz="1100" baseline="-25000">
            <a:solidFill>
              <a:schemeClr val="dk1"/>
            </a:solidFill>
            <a:latin typeface="+mn-lt"/>
            <a:ea typeface="+mn-ea"/>
            <a:cs typeface="+mn-cs"/>
          </a:endParaRPr>
        </a:p>
        <a:p>
          <a:r>
            <a:rPr lang="en-US" sz="1100" baseline="0">
              <a:solidFill>
                <a:schemeClr val="dk1"/>
              </a:solidFill>
              <a:latin typeface="+mn-lt"/>
              <a:ea typeface="+mn-ea"/>
              <a:cs typeface="+mn-cs"/>
            </a:rPr>
            <a:t>6.  Plot ML/D vs C</a:t>
          </a:r>
          <a:r>
            <a:rPr lang="en-US" sz="1100" baseline="-25000">
              <a:solidFill>
                <a:schemeClr val="dk1"/>
              </a:solidFill>
              <a:latin typeface="+mn-lt"/>
              <a:ea typeface="+mn-ea"/>
              <a:cs typeface="+mn-cs"/>
            </a:rPr>
            <a:t>L</a:t>
          </a:r>
          <a:r>
            <a:rPr lang="en-US" sz="1100" baseline="0">
              <a:solidFill>
                <a:schemeClr val="dk1"/>
              </a:solidFill>
              <a:latin typeface="+mn-lt"/>
              <a:ea typeface="+mn-ea"/>
              <a:cs typeface="+mn-cs"/>
            </a:rPr>
            <a:t> as a fn of Mach number (see RHS plot)</a:t>
          </a:r>
        </a:p>
      </xdr:txBody>
    </xdr:sp>
    <xdr:clientData/>
  </xdr:twoCellAnchor>
  <xdr:twoCellAnchor>
    <xdr:from>
      <xdr:col>0</xdr:col>
      <xdr:colOff>335280</xdr:colOff>
      <xdr:row>95</xdr:row>
      <xdr:rowOff>0</xdr:rowOff>
    </xdr:from>
    <xdr:to>
      <xdr:col>0</xdr:col>
      <xdr:colOff>1546860</xdr:colOff>
      <xdr:row>106</xdr:row>
      <xdr:rowOff>160020</xdr:rowOff>
    </xdr:to>
    <xdr:sp macro="" textlink="">
      <xdr:nvSpPr>
        <xdr:cNvPr id="15" name="TextBox 14"/>
        <xdr:cNvSpPr txBox="1"/>
      </xdr:nvSpPr>
      <xdr:spPr>
        <a:xfrm>
          <a:off x="335280" y="17373600"/>
          <a:ext cx="1211580" cy="1257300"/>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ML/D vs</a:t>
          </a:r>
          <a:r>
            <a:rPr lang="en-US" sz="1100" baseline="0"/>
            <a:t> CL for different Mach</a:t>
          </a:r>
          <a:endParaRPr lang="en-US" sz="1100"/>
        </a:p>
      </xdr:txBody>
    </xdr:sp>
    <xdr:clientData/>
  </xdr:twoCellAnchor>
  <xdr:twoCellAnchor>
    <xdr:from>
      <xdr:col>0</xdr:col>
      <xdr:colOff>1819275</xdr:colOff>
      <xdr:row>186</xdr:row>
      <xdr:rowOff>28575</xdr:rowOff>
    </xdr:from>
    <xdr:to>
      <xdr:col>11</xdr:col>
      <xdr:colOff>581025</xdr:colOff>
      <xdr:row>211</xdr:row>
      <xdr:rowOff>76199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29</xdr:col>
      <xdr:colOff>11430</xdr:colOff>
      <xdr:row>76</xdr:row>
      <xdr:rowOff>1905</xdr:rowOff>
    </xdr:from>
    <xdr:to>
      <xdr:col>31</xdr:col>
      <xdr:colOff>300990</xdr:colOff>
      <xdr:row>86</xdr:row>
      <xdr:rowOff>17145</xdr:rowOff>
    </xdr:to>
    <xdr:sp macro="" textlink="">
      <xdr:nvSpPr>
        <xdr:cNvPr id="10" name="TextBox 9"/>
        <xdr:cNvSpPr txBox="1"/>
      </xdr:nvSpPr>
      <xdr:spPr>
        <a:xfrm>
          <a:off x="19356705" y="14965680"/>
          <a:ext cx="1508760" cy="1920240"/>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Extend</a:t>
          </a:r>
          <a:r>
            <a:rPr lang="en-US" sz="1100" baseline="0"/>
            <a:t> or truncate each line as necessary so that drag rise is displayed on C</a:t>
          </a:r>
          <a:r>
            <a:rPr lang="en-US" sz="1100" baseline="-25000"/>
            <a:t>D</a:t>
          </a:r>
          <a:r>
            <a:rPr lang="en-US" sz="1100" baseline="0"/>
            <a:t> vs Mach Number plot</a:t>
          </a:r>
          <a:endParaRPr 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110</xdr:row>
          <xdr:rowOff>0</xdr:rowOff>
        </xdr:from>
        <xdr:to>
          <xdr:col>19</xdr:col>
          <xdr:colOff>342900</xdr:colOff>
          <xdr:row>111</xdr:row>
          <xdr:rowOff>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29</xdr:col>
      <xdr:colOff>15240</xdr:colOff>
      <xdr:row>92</xdr:row>
      <xdr:rowOff>20955</xdr:rowOff>
    </xdr:from>
    <xdr:to>
      <xdr:col>31</xdr:col>
      <xdr:colOff>388620</xdr:colOff>
      <xdr:row>101</xdr:row>
      <xdr:rowOff>19050</xdr:rowOff>
    </xdr:to>
    <xdr:sp macro="" textlink="">
      <xdr:nvSpPr>
        <xdr:cNvPr id="19" name="TextBox 18"/>
        <xdr:cNvSpPr txBox="1"/>
      </xdr:nvSpPr>
      <xdr:spPr>
        <a:xfrm>
          <a:off x="19360515" y="18051780"/>
          <a:ext cx="1592580" cy="1760220"/>
        </a:xfrm>
        <a:prstGeom prst="rect">
          <a:avLst/>
        </a:prstGeom>
        <a:solidFill>
          <a:schemeClr val="lt1"/>
        </a:solidFill>
        <a:ln w="1587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Extend</a:t>
          </a:r>
          <a:r>
            <a:rPr lang="en-US" sz="1100" baseline="0"/>
            <a:t> or truncate each column as necessary so that curves are displayed correctly on ML/D vs CL plot</a:t>
          </a:r>
          <a:endParaRPr lang="en-US" sz="1100"/>
        </a:p>
      </xdr:txBody>
    </xdr:sp>
    <xdr:clientData/>
  </xdr:twoCellAnchor>
  <xdr:twoCellAnchor editAs="oneCell">
    <xdr:from>
      <xdr:col>0</xdr:col>
      <xdr:colOff>1822540</xdr:colOff>
      <xdr:row>214</xdr:row>
      <xdr:rowOff>178798</xdr:rowOff>
    </xdr:from>
    <xdr:to>
      <xdr:col>7</xdr:col>
      <xdr:colOff>229688</xdr:colOff>
      <xdr:row>243</xdr:row>
      <xdr:rowOff>26398</xdr:rowOff>
    </xdr:to>
    <xdr:pic>
      <xdr:nvPicPr>
        <xdr:cNvPr id="13" name="Picture 1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2540" y="41507773"/>
          <a:ext cx="4341223" cy="5372100"/>
        </a:xfrm>
        <a:prstGeom prst="rect">
          <a:avLst/>
        </a:prstGeom>
      </xdr:spPr>
    </xdr:pic>
    <xdr:clientData/>
  </xdr:twoCellAnchor>
  <xdr:twoCellAnchor>
    <xdr:from>
      <xdr:col>7</xdr:col>
      <xdr:colOff>607694</xdr:colOff>
      <xdr:row>215</xdr:row>
      <xdr:rowOff>36195</xdr:rowOff>
    </xdr:from>
    <xdr:to>
      <xdr:col>17</xdr:col>
      <xdr:colOff>19049</xdr:colOff>
      <xdr:row>229</xdr:row>
      <xdr:rowOff>161925</xdr:rowOff>
    </xdr:to>
    <xdr:sp macro="" textlink="">
      <xdr:nvSpPr>
        <xdr:cNvPr id="20" name="TextBox 19"/>
        <xdr:cNvSpPr txBox="1"/>
      </xdr:nvSpPr>
      <xdr:spPr>
        <a:xfrm>
          <a:off x="6541769" y="41555670"/>
          <a:ext cx="5507355" cy="2792730"/>
        </a:xfrm>
        <a:prstGeom prst="rect">
          <a:avLst/>
        </a:prstGeom>
        <a:solidFill>
          <a:schemeClr val="lt1"/>
        </a:solidFill>
        <a:ln w="19050" cmpd="sng">
          <a:solidFill>
            <a:srgbClr val="00206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a:t>
          </a:r>
          <a:r>
            <a:rPr lang="en-US" sz="1100" baseline="0"/>
            <a:t> can c</a:t>
          </a:r>
          <a:r>
            <a:rPr lang="en-US" sz="1100"/>
            <a:t>ompare results for your airplane with those of 787</a:t>
          </a:r>
          <a:r>
            <a:rPr lang="en-US" sz="1100" baseline="0"/>
            <a:t> (shown on left) as predicted by Piano 5, a European aircraft synthesis and sizing system.  The values of (L/D)</a:t>
          </a:r>
          <a:r>
            <a:rPr lang="en-US" sz="1100" baseline="-25000"/>
            <a:t>max</a:t>
          </a:r>
          <a:r>
            <a:rPr lang="en-US" sz="1100" baseline="0"/>
            <a:t> shown here for the 787 are very high.  </a:t>
          </a:r>
        </a:p>
        <a:p>
          <a:endParaRPr lang="en-US" sz="1100" baseline="0"/>
        </a:p>
        <a:p>
          <a:r>
            <a:rPr lang="en-US" sz="1100" baseline="0"/>
            <a:t>Predicted values of L/D and ML/D are not valid when deep into the buffet zone (see 787 plot on left).  Trim the lines on the plots appropriately (select each line individually and adjust the number of cells used to plot the line).</a:t>
          </a:r>
        </a:p>
        <a:p>
          <a:endParaRPr lang="en-US" sz="1100" baseline="0"/>
        </a:p>
      </xdr:txBody>
    </xdr:sp>
    <xdr:clientData/>
  </xdr:twoCellAnchor>
  <xdr:twoCellAnchor>
    <xdr:from>
      <xdr:col>13</xdr:col>
      <xdr:colOff>38100</xdr:colOff>
      <xdr:row>111</xdr:row>
      <xdr:rowOff>0</xdr:rowOff>
    </xdr:from>
    <xdr:to>
      <xdr:col>22</xdr:col>
      <xdr:colOff>523875</xdr:colOff>
      <xdr:row>138</xdr:row>
      <xdr:rowOff>76200</xdr:rowOff>
    </xdr:to>
    <xdr:sp macro="" textlink="">
      <xdr:nvSpPr>
        <xdr:cNvPr id="14" name="TextBox 13"/>
        <xdr:cNvSpPr txBox="1"/>
      </xdr:nvSpPr>
      <xdr:spPr>
        <a:xfrm>
          <a:off x="9629775" y="21707475"/>
          <a:ext cx="5972175" cy="52197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latin typeface="Segoe UI" panose="020B0502040204020203" pitchFamily="34" charset="0"/>
              <a:cs typeface="Segoe UI" panose="020B0502040204020203" pitchFamily="34" charset="0"/>
            </a:rPr>
            <a:t>When  some of the lines are trimmed, the legend entries that should have shown the Mach value change to "Seriesn".    Here is how to edit the entries manually:</a:t>
          </a:r>
        </a:p>
        <a:p>
          <a:pPr algn="l">
            <a:buFont typeface="+mj-lt"/>
            <a:buAutoNum type="arabicPeriod"/>
          </a:pPr>
          <a:r>
            <a:rPr lang="en-US" b="0" i="0">
              <a:solidFill>
                <a:srgbClr val="363636"/>
              </a:solidFill>
              <a:effectLst/>
              <a:latin typeface="Segoe UI" panose="020B0502040204020203" pitchFamily="34" charset="0"/>
            </a:rPr>
            <a:t> Click the chart that displays the legend entries that you want to edit.</a:t>
          </a:r>
        </a:p>
        <a:p>
          <a:pPr algn="l">
            <a:buFont typeface="+mj-lt"/>
            <a:buAutoNum type="arabicPeriod"/>
          </a:pPr>
          <a:r>
            <a:rPr lang="en-US" b="0" i="0">
              <a:solidFill>
                <a:srgbClr val="363636"/>
              </a:solidFill>
              <a:effectLst/>
              <a:latin typeface="Segoe UI" panose="020B0502040204020203" pitchFamily="34" charset="0"/>
            </a:rPr>
            <a:t> This displays the </a:t>
          </a:r>
          <a:r>
            <a:rPr lang="en-US" b="1" i="0">
              <a:solidFill>
                <a:srgbClr val="363636"/>
              </a:solidFill>
              <a:effectLst/>
              <a:latin typeface="Segoe UI" panose="020B0502040204020203" pitchFamily="34" charset="0"/>
            </a:rPr>
            <a:t>Chart Tools</a:t>
          </a:r>
          <a:r>
            <a:rPr lang="en-US" b="0" i="0">
              <a:solidFill>
                <a:srgbClr val="363636"/>
              </a:solidFill>
              <a:effectLst/>
              <a:latin typeface="Segoe UI" panose="020B0502040204020203" pitchFamily="34" charset="0"/>
            </a:rPr>
            <a:t>, adding the </a:t>
          </a:r>
          <a:r>
            <a:rPr lang="en-US" b="1" i="0">
              <a:solidFill>
                <a:srgbClr val="363636"/>
              </a:solidFill>
              <a:effectLst/>
              <a:latin typeface="Segoe UI" panose="020B0502040204020203" pitchFamily="34" charset="0"/>
            </a:rPr>
            <a:t>Design</a:t>
          </a:r>
          <a:r>
            <a:rPr lang="en-US" b="0" i="0">
              <a:solidFill>
                <a:srgbClr val="363636"/>
              </a:solidFill>
              <a:effectLst/>
              <a:latin typeface="Segoe UI" panose="020B0502040204020203" pitchFamily="34" charset="0"/>
            </a:rPr>
            <a:t>, </a:t>
          </a:r>
          <a:r>
            <a:rPr lang="en-US" b="1" i="0">
              <a:solidFill>
                <a:srgbClr val="363636"/>
              </a:solidFill>
              <a:effectLst/>
              <a:latin typeface="Segoe UI" panose="020B0502040204020203" pitchFamily="34" charset="0"/>
            </a:rPr>
            <a:t>Layout</a:t>
          </a:r>
          <a:r>
            <a:rPr lang="en-US" b="0" i="0">
              <a:solidFill>
                <a:srgbClr val="363636"/>
              </a:solidFill>
              <a:effectLst/>
              <a:latin typeface="Segoe UI" panose="020B0502040204020203" pitchFamily="34" charset="0"/>
            </a:rPr>
            <a:t>, and </a:t>
          </a:r>
          <a:r>
            <a:rPr lang="en-US" b="1" i="0">
              <a:solidFill>
                <a:srgbClr val="363636"/>
              </a:solidFill>
              <a:effectLst/>
              <a:latin typeface="Segoe UI" panose="020B0502040204020203" pitchFamily="34" charset="0"/>
            </a:rPr>
            <a:t>Format</a:t>
          </a:r>
          <a:r>
            <a:rPr lang="en-US" b="0" i="0">
              <a:solidFill>
                <a:srgbClr val="363636"/>
              </a:solidFill>
              <a:effectLst/>
              <a:latin typeface="Segoe UI" panose="020B0502040204020203" pitchFamily="34" charset="0"/>
            </a:rPr>
            <a:t> tabs.</a:t>
          </a:r>
        </a:p>
        <a:p>
          <a:pPr algn="l">
            <a:buFont typeface="+mj-lt"/>
            <a:buAutoNum type="arabicPeriod"/>
          </a:pPr>
          <a:r>
            <a:rPr lang="en-US" b="0" i="0">
              <a:solidFill>
                <a:srgbClr val="363636"/>
              </a:solidFill>
              <a:effectLst/>
              <a:latin typeface="Segoe UI" panose="020B0502040204020203" pitchFamily="34" charset="0"/>
            </a:rPr>
            <a:t> On the </a:t>
          </a:r>
          <a:r>
            <a:rPr lang="en-US" b="1" i="0">
              <a:solidFill>
                <a:srgbClr val="363636"/>
              </a:solidFill>
              <a:effectLst/>
              <a:latin typeface="Segoe UI" panose="020B0502040204020203" pitchFamily="34" charset="0"/>
            </a:rPr>
            <a:t>Design</a:t>
          </a:r>
          <a:r>
            <a:rPr lang="en-US" b="0" i="0">
              <a:solidFill>
                <a:srgbClr val="363636"/>
              </a:solidFill>
              <a:effectLst/>
              <a:latin typeface="Segoe UI" panose="020B0502040204020203" pitchFamily="34" charset="0"/>
            </a:rPr>
            <a:t> tab, in the </a:t>
          </a:r>
          <a:r>
            <a:rPr lang="en-US" b="1" i="0">
              <a:solidFill>
                <a:srgbClr val="363636"/>
              </a:solidFill>
              <a:effectLst/>
              <a:latin typeface="Segoe UI" panose="020B0502040204020203" pitchFamily="34" charset="0"/>
            </a:rPr>
            <a:t>Data</a:t>
          </a:r>
          <a:r>
            <a:rPr lang="en-US" b="0" i="0">
              <a:solidFill>
                <a:srgbClr val="363636"/>
              </a:solidFill>
              <a:effectLst/>
              <a:latin typeface="Segoe UI" panose="020B0502040204020203" pitchFamily="34" charset="0"/>
            </a:rPr>
            <a:t> group, click </a:t>
          </a:r>
          <a:r>
            <a:rPr lang="en-US" b="1" i="0">
              <a:solidFill>
                <a:srgbClr val="363636"/>
              </a:solidFill>
              <a:effectLst/>
              <a:latin typeface="Segoe UI" panose="020B0502040204020203" pitchFamily="34" charset="0"/>
            </a:rPr>
            <a:t>Select Data</a:t>
          </a:r>
          <a:r>
            <a:rPr lang="en-US" b="0" i="0">
              <a:solidFill>
                <a:srgbClr val="363636"/>
              </a:solidFill>
              <a:effectLst/>
              <a:latin typeface="Segoe UI" panose="020B0502040204020203" pitchFamily="34" charset="0"/>
            </a:rPr>
            <a:t>.</a:t>
          </a:r>
        </a:p>
        <a:p>
          <a:pPr algn="l">
            <a:buFont typeface="+mj-lt"/>
            <a:buAutoNum type="arabicPeriod"/>
          </a:pPr>
          <a:r>
            <a:rPr lang="en-US" b="0" i="0">
              <a:solidFill>
                <a:srgbClr val="363636"/>
              </a:solidFill>
              <a:effectLst/>
              <a:latin typeface="Segoe UI" panose="020B0502040204020203" pitchFamily="34" charset="0"/>
            </a:rPr>
            <a:t> In the </a:t>
          </a:r>
          <a:r>
            <a:rPr lang="en-US" b="1" i="0">
              <a:solidFill>
                <a:srgbClr val="363636"/>
              </a:solidFill>
              <a:effectLst/>
              <a:latin typeface="Segoe UI" panose="020B0502040204020203" pitchFamily="34" charset="0"/>
            </a:rPr>
            <a:t>Select Data Source</a:t>
          </a:r>
          <a:r>
            <a:rPr lang="en-US" b="0" i="0">
              <a:solidFill>
                <a:srgbClr val="363636"/>
              </a:solidFill>
              <a:effectLst/>
              <a:latin typeface="Segoe UI" panose="020B0502040204020203" pitchFamily="34" charset="0"/>
            </a:rPr>
            <a:t> dialog box, in the </a:t>
          </a:r>
          <a:r>
            <a:rPr lang="en-US" b="1" i="0">
              <a:solidFill>
                <a:srgbClr val="363636"/>
              </a:solidFill>
              <a:effectLst/>
              <a:latin typeface="Segoe UI" panose="020B0502040204020203" pitchFamily="34" charset="0"/>
            </a:rPr>
            <a:t>Legend Entries (Series)</a:t>
          </a:r>
          <a:r>
            <a:rPr lang="en-US" b="0" i="0">
              <a:solidFill>
                <a:srgbClr val="363636"/>
              </a:solidFill>
              <a:effectLst/>
              <a:latin typeface="Segoe UI" panose="020B0502040204020203" pitchFamily="34" charset="0"/>
            </a:rPr>
            <a:t> box, select the legend entry that you want to change.</a:t>
          </a:r>
        </a:p>
        <a:p>
          <a:pPr algn="l">
            <a:buFont typeface="+mj-lt"/>
            <a:buAutoNum type="arabicPeriod"/>
          </a:pPr>
          <a:r>
            <a:rPr lang="en-US" b="0" i="0">
              <a:solidFill>
                <a:srgbClr val="363636"/>
              </a:solidFill>
              <a:effectLst/>
              <a:latin typeface="Segoe UI" panose="020B0502040204020203" pitchFamily="34" charset="0"/>
            </a:rPr>
            <a:t> Click </a:t>
          </a:r>
          <a:r>
            <a:rPr lang="en-US" b="1" i="0">
              <a:solidFill>
                <a:srgbClr val="363636"/>
              </a:solidFill>
              <a:effectLst/>
              <a:latin typeface="Segoe UI" panose="020B0502040204020203" pitchFamily="34" charset="0"/>
            </a:rPr>
            <a:t>Edit</a:t>
          </a:r>
          <a:r>
            <a:rPr lang="en-US" b="0" i="0">
              <a:solidFill>
                <a:srgbClr val="363636"/>
              </a:solidFill>
              <a:effectLst/>
              <a:latin typeface="Segoe UI" panose="020B0502040204020203" pitchFamily="34" charset="0"/>
            </a:rPr>
            <a:t>.</a:t>
          </a:r>
        </a:p>
        <a:p>
          <a:pPr algn="l">
            <a:buFont typeface="+mj-lt"/>
            <a:buAutoNum type="arabicPeriod"/>
          </a:pPr>
          <a:r>
            <a:rPr lang="en-US" b="0" i="0" cap="all">
              <a:solidFill>
                <a:srgbClr val="363636"/>
              </a:solidFill>
              <a:effectLst/>
              <a:latin typeface="Segoe UI" panose="020B0502040204020203" pitchFamily="34" charset="0"/>
            </a:rPr>
            <a:t> TIP </a:t>
          </a:r>
          <a:r>
            <a:rPr lang="en-US" b="0" i="0">
              <a:solidFill>
                <a:srgbClr val="363636"/>
              </a:solidFill>
              <a:effectLst/>
              <a:latin typeface="Segoe UI" panose="020B0502040204020203" pitchFamily="34" charset="0"/>
            </a:rPr>
            <a:t>  To add a new legend entry, click </a:t>
          </a:r>
          <a:r>
            <a:rPr lang="en-US" b="1" i="0">
              <a:solidFill>
                <a:srgbClr val="363636"/>
              </a:solidFill>
              <a:effectLst/>
              <a:latin typeface="Segoe UI" panose="020B0502040204020203" pitchFamily="34" charset="0"/>
            </a:rPr>
            <a:t>Add</a:t>
          </a:r>
          <a:r>
            <a:rPr lang="en-US" b="0" i="0">
              <a:solidFill>
                <a:srgbClr val="363636"/>
              </a:solidFill>
              <a:effectLst/>
              <a:latin typeface="Segoe UI" panose="020B0502040204020203" pitchFamily="34" charset="0"/>
            </a:rPr>
            <a:t>, or to remove a legend entry, click </a:t>
          </a:r>
          <a:r>
            <a:rPr lang="en-US" b="1" i="0">
              <a:solidFill>
                <a:srgbClr val="363636"/>
              </a:solidFill>
              <a:effectLst/>
              <a:latin typeface="Segoe UI" panose="020B0502040204020203" pitchFamily="34" charset="0"/>
            </a:rPr>
            <a:t>Remove</a:t>
          </a:r>
          <a:r>
            <a:rPr lang="en-US" b="0" i="0">
              <a:solidFill>
                <a:srgbClr val="363636"/>
              </a:solidFill>
              <a:effectLst/>
              <a:latin typeface="Segoe UI" panose="020B0502040204020203" pitchFamily="34" charset="0"/>
            </a:rPr>
            <a:t>.</a:t>
          </a:r>
        </a:p>
        <a:p>
          <a:pPr algn="l">
            <a:buFont typeface="+mj-lt"/>
            <a:buAutoNum type="arabicPeriod"/>
          </a:pPr>
          <a:r>
            <a:rPr lang="en-US" b="0" i="0">
              <a:solidFill>
                <a:srgbClr val="363636"/>
              </a:solidFill>
              <a:effectLst/>
              <a:latin typeface="Segoe UI" panose="020B0502040204020203" pitchFamily="34" charset="0"/>
            </a:rPr>
            <a:t> In the </a:t>
          </a:r>
          <a:r>
            <a:rPr lang="en-US" b="1" i="0">
              <a:solidFill>
                <a:srgbClr val="363636"/>
              </a:solidFill>
              <a:effectLst/>
              <a:latin typeface="Segoe UI" panose="020B0502040204020203" pitchFamily="34" charset="0"/>
            </a:rPr>
            <a:t>Series Name</a:t>
          </a:r>
          <a:r>
            <a:rPr lang="en-US" b="0" i="0">
              <a:solidFill>
                <a:srgbClr val="363636"/>
              </a:solidFill>
              <a:effectLst/>
              <a:latin typeface="Segoe UI" panose="020B0502040204020203" pitchFamily="34" charset="0"/>
            </a:rPr>
            <a:t> box, do one of the following:</a:t>
          </a:r>
        </a:p>
        <a:p>
          <a:pPr marL="742950" lvl="1" indent="-285750" algn="l">
            <a:buFont typeface="+mj-lt"/>
            <a:buAutoNum type="arabicPeriod"/>
          </a:pPr>
          <a:r>
            <a:rPr lang="en-US" b="0" i="0">
              <a:solidFill>
                <a:srgbClr val="363636"/>
              </a:solidFill>
              <a:effectLst/>
              <a:latin typeface="Segoe UI" panose="020B0502040204020203" pitchFamily="34" charset="0"/>
            </a:rPr>
            <a:t>Type the reference to the worksheet cell that contains the data that you want to use as the legend entry text.</a:t>
          </a:r>
        </a:p>
        <a:p>
          <a:pPr marL="742950" lvl="1" indent="-285750" algn="l">
            <a:buFont typeface="+mj-lt"/>
            <a:buAutoNum type="arabicPeriod"/>
          </a:pPr>
          <a:r>
            <a:rPr lang="en-US" b="0" i="0" cap="all">
              <a:solidFill>
                <a:srgbClr val="363636"/>
              </a:solidFill>
              <a:effectLst/>
              <a:latin typeface="Segoe UI" panose="020B0502040204020203" pitchFamily="34" charset="0"/>
            </a:rPr>
            <a:t>TIP </a:t>
          </a:r>
          <a:r>
            <a:rPr lang="en-US" b="0" i="0">
              <a:solidFill>
                <a:srgbClr val="363636"/>
              </a:solidFill>
              <a:effectLst/>
              <a:latin typeface="Segoe UI" panose="020B0502040204020203" pitchFamily="34" charset="0"/>
            </a:rPr>
            <a:t>  You can also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at the right end of the </a:t>
          </a:r>
          <a:r>
            <a:rPr lang="en-US" b="1" i="0">
              <a:solidFill>
                <a:srgbClr val="363636"/>
              </a:solidFill>
              <a:effectLst/>
              <a:latin typeface="Segoe UI" panose="020B0502040204020203" pitchFamily="34" charset="0"/>
            </a:rPr>
            <a:t>Series name</a:t>
          </a:r>
          <a:r>
            <a:rPr lang="en-US" b="0" i="0">
              <a:solidFill>
                <a:srgbClr val="363636"/>
              </a:solidFill>
              <a:effectLst/>
              <a:latin typeface="Segoe UI" panose="020B0502040204020203" pitchFamily="34" charset="0"/>
            </a:rPr>
            <a:t> box, and then select the worksheet cell that contains the data that you want to use as the legend entry. When you finish,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again to display the entire dialog box.</a:t>
          </a:r>
        </a:p>
        <a:p>
          <a:pPr marL="742950" lvl="1" indent="-285750" algn="l">
            <a:buFont typeface="+mj-lt"/>
            <a:buAutoNum type="arabicPeriod"/>
          </a:pPr>
          <a:r>
            <a:rPr lang="en-US" b="0" i="0">
              <a:solidFill>
                <a:srgbClr val="363636"/>
              </a:solidFill>
              <a:effectLst/>
              <a:latin typeface="Segoe UI" panose="020B0502040204020203" pitchFamily="34" charset="0"/>
            </a:rPr>
            <a:t>Type the legend entry name that you want to use.</a:t>
          </a:r>
        </a:p>
        <a:p>
          <a:pPr marL="742950" lvl="1" indent="-285750" algn="l">
            <a:buFont typeface="+mj-lt"/>
            <a:buAutoNum type="arabicPeriod"/>
          </a:pPr>
          <a:r>
            <a:rPr lang="en-US" b="0" i="0" cap="all">
              <a:solidFill>
                <a:srgbClr val="7030A0"/>
              </a:solidFill>
              <a:effectLst/>
              <a:latin typeface="Segoe UI" panose="020B0502040204020203" pitchFamily="34" charset="0"/>
            </a:rPr>
            <a:t>NOTE </a:t>
          </a:r>
          <a:r>
            <a:rPr lang="en-US" b="0" i="0">
              <a:solidFill>
                <a:srgbClr val="7030A0"/>
              </a:solidFill>
              <a:effectLst/>
              <a:latin typeface="Segoe UI" panose="020B0502040204020203" pitchFamily="34" charset="0"/>
            </a:rPr>
            <a:t>  When you type a new name, the legend entry text is no longer linked to data in a worksheet cell.</a:t>
          </a:r>
        </a:p>
        <a:p>
          <a:pPr marL="742950" lvl="1" indent="-285750" algn="l">
            <a:buFont typeface="+mj-lt"/>
            <a:buAutoNum type="arabicPeriod"/>
          </a:pPr>
          <a:r>
            <a:rPr lang="en-US" b="0" i="0">
              <a:solidFill>
                <a:srgbClr val="363636"/>
              </a:solidFill>
              <a:effectLst/>
              <a:latin typeface="Segoe UI" panose="020B0502040204020203" pitchFamily="34" charset="0"/>
            </a:rPr>
            <a:t>To add a new legend entry, type the reference to the worksheet cell or type a new name and then, in the</a:t>
          </a:r>
          <a:r>
            <a:rPr lang="en-US" b="1" i="0">
              <a:solidFill>
                <a:srgbClr val="363636"/>
              </a:solidFill>
              <a:effectLst/>
              <a:latin typeface="Segoe UI" panose="020B0502040204020203" pitchFamily="34" charset="0"/>
            </a:rPr>
            <a:t>Series values</a:t>
          </a:r>
          <a:r>
            <a:rPr lang="en-US" b="0" i="0">
              <a:solidFill>
                <a:srgbClr val="363636"/>
              </a:solidFill>
              <a:effectLst/>
              <a:latin typeface="Segoe UI" panose="020B0502040204020203" pitchFamily="34" charset="0"/>
            </a:rPr>
            <a:t> box, type a reference to the data series on the worksheet that you want to use for the new legend entry.</a:t>
          </a:r>
        </a:p>
        <a:p>
          <a:pPr marL="742950" lvl="1" indent="-285750" algn="l">
            <a:buFont typeface="+mj-lt"/>
            <a:buAutoNum type="arabicPeriod"/>
          </a:pPr>
          <a:r>
            <a:rPr lang="en-US" b="0" i="0" cap="all">
              <a:solidFill>
                <a:srgbClr val="363636"/>
              </a:solidFill>
              <a:effectLst/>
              <a:latin typeface="Segoe UI" panose="020B0502040204020203" pitchFamily="34" charset="0"/>
            </a:rPr>
            <a:t>TIP </a:t>
          </a:r>
          <a:r>
            <a:rPr lang="en-US" b="0" i="0">
              <a:solidFill>
                <a:srgbClr val="363636"/>
              </a:solidFill>
              <a:effectLst/>
              <a:latin typeface="Segoe UI" panose="020B0502040204020203" pitchFamily="34" charset="0"/>
            </a:rPr>
            <a:t>  You can also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at the right end of the </a:t>
          </a:r>
          <a:r>
            <a:rPr lang="en-US" b="1" i="0">
              <a:solidFill>
                <a:srgbClr val="363636"/>
              </a:solidFill>
              <a:effectLst/>
              <a:latin typeface="Segoe UI" panose="020B0502040204020203" pitchFamily="34" charset="0"/>
            </a:rPr>
            <a:t>Series values</a:t>
          </a:r>
          <a:r>
            <a:rPr lang="en-US" b="0" i="0">
              <a:solidFill>
                <a:srgbClr val="363636"/>
              </a:solidFill>
              <a:effectLst/>
              <a:latin typeface="Segoe UI" panose="020B0502040204020203" pitchFamily="34" charset="0"/>
            </a:rPr>
            <a:t> box, and then select the data series that you want to use for the new legend entry. When you finish, click the </a:t>
          </a:r>
          <a:r>
            <a:rPr lang="en-US" b="1" i="0">
              <a:solidFill>
                <a:srgbClr val="363636"/>
              </a:solidFill>
              <a:effectLst/>
              <a:latin typeface="Segoe UI" panose="020B0502040204020203" pitchFamily="34" charset="0"/>
            </a:rPr>
            <a:t>Collapse Dialog</a:t>
          </a:r>
          <a:r>
            <a:rPr lang="en-US" b="0" i="0">
              <a:solidFill>
                <a:srgbClr val="363636"/>
              </a:solidFill>
              <a:effectLst/>
              <a:latin typeface="Segoe UI" panose="020B0502040204020203" pitchFamily="34" charset="0"/>
            </a:rPr>
            <a:t> button again to display the entire dialog box.</a:t>
          </a:r>
        </a:p>
        <a:p>
          <a:endParaRPr lang="en-US" sz="1100"/>
        </a:p>
      </xdr:txBody>
    </xdr:sp>
    <xdr:clientData/>
  </xdr:twoCellAnchor>
  <xdr:twoCellAnchor>
    <xdr:from>
      <xdr:col>0</xdr:col>
      <xdr:colOff>209550</xdr:colOff>
      <xdr:row>0</xdr:row>
      <xdr:rowOff>66675</xdr:rowOff>
    </xdr:from>
    <xdr:to>
      <xdr:col>9</xdr:col>
      <xdr:colOff>232410</xdr:colOff>
      <xdr:row>9</xdr:row>
      <xdr:rowOff>0</xdr:rowOff>
    </xdr:to>
    <xdr:sp macro="" textlink="">
      <xdr:nvSpPr>
        <xdr:cNvPr id="21" name="TextBox 20"/>
        <xdr:cNvSpPr txBox="1"/>
      </xdr:nvSpPr>
      <xdr:spPr>
        <a:xfrm>
          <a:off x="209550" y="66675"/>
          <a:ext cx="7176135" cy="16478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solidFill>
                <a:schemeClr val="dk1"/>
              </a:solidFill>
              <a:latin typeface="+mn-lt"/>
              <a:ea typeface="+mn-ea"/>
              <a:cs typeface="+mn-cs"/>
            </a:rPr>
            <a:t>Spreadsheet for generating drag plot, </a:t>
          </a:r>
          <a:r>
            <a:rPr lang="en-US" sz="1100" baseline="0">
              <a:solidFill>
                <a:schemeClr val="dk1"/>
              </a:solidFill>
              <a:effectLst/>
              <a:latin typeface="+mn-lt"/>
              <a:ea typeface="+mn-ea"/>
              <a:cs typeface="+mn-cs"/>
            </a:rPr>
            <a:t>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and ML/D vs C</a:t>
          </a:r>
          <a:r>
            <a:rPr lang="en-US" sz="1100" baseline="-25000">
              <a:solidFill>
                <a:schemeClr val="dk1"/>
              </a:solidFill>
              <a:effectLst/>
              <a:latin typeface="+mn-lt"/>
              <a:ea typeface="+mn-ea"/>
              <a:cs typeface="+mn-cs"/>
            </a:rPr>
            <a:t>L</a:t>
          </a:r>
          <a:r>
            <a:rPr lang="en-US" sz="1100" baseline="0">
              <a:solidFill>
                <a:schemeClr val="dk1"/>
              </a:solidFill>
              <a:effectLst/>
              <a:latin typeface="+mn-lt"/>
              <a:ea typeface="+mn-ea"/>
              <a:cs typeface="+mn-cs"/>
            </a:rPr>
            <a:t> plots for different values of Mach.</a:t>
          </a:r>
        </a:p>
        <a:p>
          <a:r>
            <a:rPr lang="en-US" sz="1100" b="1" baseline="0">
              <a:solidFill>
                <a:schemeClr val="dk1"/>
              </a:solidFill>
              <a:effectLst/>
              <a:latin typeface="+mn-lt"/>
              <a:ea typeface="+mn-ea"/>
              <a:cs typeface="+mn-cs"/>
            </a:rPr>
            <a:t>Adjust values with </a:t>
          </a:r>
          <a:r>
            <a:rPr lang="en-US" sz="1100" b="1" baseline="0">
              <a:solidFill>
                <a:srgbClr val="FF0000"/>
              </a:solidFill>
              <a:effectLst/>
              <a:latin typeface="+mn-lt"/>
              <a:ea typeface="+mn-ea"/>
              <a:cs typeface="+mn-cs"/>
            </a:rPr>
            <a:t>red</a:t>
          </a:r>
          <a:r>
            <a:rPr lang="en-US" sz="1100" b="1" baseline="0">
              <a:solidFill>
                <a:schemeClr val="dk1"/>
              </a:solidFill>
              <a:effectLst/>
              <a:latin typeface="+mn-lt"/>
              <a:ea typeface="+mn-ea"/>
              <a:cs typeface="+mn-cs"/>
            </a:rPr>
            <a:t> text only</a:t>
          </a:r>
          <a:r>
            <a:rPr lang="en-US" sz="1100" baseline="0">
              <a:solidFill>
                <a:schemeClr val="dk1"/>
              </a:solidFill>
              <a:effectLst/>
              <a:latin typeface="+mn-lt"/>
              <a:ea typeface="+mn-ea"/>
              <a:cs typeface="+mn-cs"/>
            </a:rPr>
            <a:t>.  Values with black text are calculated internally.</a:t>
          </a:r>
        </a:p>
        <a:p>
          <a:r>
            <a:rPr lang="en-US" sz="1100" baseline="0">
              <a:solidFill>
                <a:schemeClr val="dk1"/>
              </a:solidFill>
              <a:effectLst/>
              <a:latin typeface="+mn-lt"/>
              <a:ea typeface="+mn-ea"/>
              <a:cs typeface="+mn-cs"/>
            </a:rPr>
            <a:t>Current data approximate to DC-10 with values from Torenbeek, Table 7-1</a:t>
          </a:r>
        </a:p>
        <a:p>
          <a:r>
            <a:rPr lang="en-US" sz="1100" baseline="0">
              <a:solidFill>
                <a:schemeClr val="dk1"/>
              </a:solidFill>
              <a:effectLst/>
              <a:latin typeface="+mn-lt"/>
              <a:ea typeface="+mn-ea"/>
              <a:cs typeface="+mn-cs"/>
            </a:rPr>
            <a:t>Results may be compared with DC-10 data in Shevell:  see Fig. 12.14 for drag plot.  Note that Shevell Figs. 12.15 and 15.16 are not consistent with Fig. 12.14 and do not appear to apply to the DC-10.</a:t>
          </a:r>
        </a:p>
        <a:p>
          <a:r>
            <a:rPr lang="en-US" sz="1100" baseline="0">
              <a:solidFill>
                <a:schemeClr val="dk1"/>
              </a:solidFill>
              <a:effectLst/>
              <a:latin typeface="+mn-lt"/>
              <a:ea typeface="+mn-ea"/>
              <a:cs typeface="+mn-cs"/>
            </a:rPr>
            <a:t>Note that Schaufele Fig. 3-9 shows DC-10-30 cruise L/D = 17.2</a:t>
          </a:r>
          <a:endParaRPr lang="en-US" sz="1100" baseline="-25000">
            <a:solidFill>
              <a:schemeClr val="dk1"/>
            </a:solidFill>
            <a:effectLst/>
            <a:latin typeface="+mn-lt"/>
            <a:ea typeface="+mn-ea"/>
            <a:cs typeface="+mn-cs"/>
          </a:endParaRPr>
        </a:p>
        <a:p>
          <a:r>
            <a:rPr lang="en-US" sz="1100" baseline="0">
              <a:solidFill>
                <a:schemeClr val="dk1"/>
              </a:solidFill>
              <a:latin typeface="+mn-lt"/>
              <a:ea typeface="+mn-ea"/>
              <a:cs typeface="+mn-cs"/>
            </a:rPr>
            <a:t>See page Wing Chararacteristics for data on other airplanes</a:t>
          </a:r>
        </a:p>
      </xdr:txBody>
    </xdr:sp>
    <xdr:clientData/>
  </xdr:twoCellAnchor>
  <xdr:twoCellAnchor>
    <xdr:from>
      <xdr:col>0</xdr:col>
      <xdr:colOff>1800224</xdr:colOff>
      <xdr:row>138</xdr:row>
      <xdr:rowOff>9525</xdr:rowOff>
    </xdr:from>
    <xdr:to>
      <xdr:col>11</xdr:col>
      <xdr:colOff>600074</xdr:colOff>
      <xdr:row>156</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28</xdr:col>
      <xdr:colOff>600076</xdr:colOff>
      <xdr:row>58</xdr:row>
      <xdr:rowOff>0</xdr:rowOff>
    </xdr:from>
    <xdr:to>
      <xdr:col>34</xdr:col>
      <xdr:colOff>76200</xdr:colOff>
      <xdr:row>64</xdr:row>
      <xdr:rowOff>85724</xdr:rowOff>
    </xdr:to>
    <xdr:sp macro="" textlink="">
      <xdr:nvSpPr>
        <xdr:cNvPr id="3" name="TextBox 2"/>
        <xdr:cNvSpPr txBox="1"/>
      </xdr:nvSpPr>
      <xdr:spPr>
        <a:xfrm>
          <a:off x="19436716" y="10805160"/>
          <a:ext cx="3133724" cy="1228724"/>
        </a:xfrm>
        <a:prstGeom prst="rect">
          <a:avLst/>
        </a:prstGeom>
        <a:solidFill>
          <a:schemeClr val="lt1"/>
        </a:solidFill>
        <a:ln w="127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list of constants below are the values in the drag rise equation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y = C((x+A)/B)^exp1 + E(x +D)^exp2</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These are automatically copied from the sheet Drag Rise  </a:t>
          </a:r>
          <a:endParaRPr lang="en-US">
            <a:effectLst/>
          </a:endParaRPr>
        </a:p>
        <a:p>
          <a:endParaRPr lang="en-US" sz="1100"/>
        </a:p>
      </xdr:txBody>
    </xdr:sp>
    <xdr:clientData/>
  </xdr:twoCellAnchor>
  <xdr:oneCellAnchor>
    <xdr:from>
      <xdr:col>14</xdr:col>
      <xdr:colOff>476250</xdr:colOff>
      <xdr:row>17</xdr:row>
      <xdr:rowOff>152400</xdr:rowOff>
    </xdr:from>
    <xdr:ext cx="65" cy="172227"/>
    <xdr:sp macro="" textlink="">
      <xdr:nvSpPr>
        <xdr:cNvPr id="18" name="TextBox 17"/>
        <xdr:cNvSpPr txBox="1"/>
      </xdr:nvSpPr>
      <xdr:spPr>
        <a:xfrm>
          <a:off x="10677525" y="3438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c:userShapes xmlns:c="http://schemas.openxmlformats.org/drawingml/2006/chart">
  <cdr:relSizeAnchor xmlns:cdr="http://schemas.openxmlformats.org/drawingml/2006/chartDrawing">
    <cdr:from>
      <cdr:x>0.40853</cdr:x>
      <cdr:y>0.49289</cdr:y>
    </cdr:from>
    <cdr:to>
      <cdr:x>0.75488</cdr:x>
      <cdr:y>0.79147</cdr:y>
    </cdr:to>
    <cdr:sp macro="" textlink="">
      <cdr:nvSpPr>
        <cdr:cNvPr id="2" name="TextBox 1"/>
        <cdr:cNvSpPr txBox="1"/>
      </cdr:nvSpPr>
      <cdr:spPr>
        <a:xfrm xmlns:a="http://schemas.openxmlformats.org/drawingml/2006/main">
          <a:off x="2190750" y="1981200"/>
          <a:ext cx="1857375" cy="1200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0.40853</cdr:x>
      <cdr:y>0.49289</cdr:y>
    </cdr:from>
    <cdr:to>
      <cdr:x>0.75488</cdr:x>
      <cdr:y>0.79147</cdr:y>
    </cdr:to>
    <cdr:sp macro="" textlink="">
      <cdr:nvSpPr>
        <cdr:cNvPr id="2" name="TextBox 1"/>
        <cdr:cNvSpPr txBox="1"/>
      </cdr:nvSpPr>
      <cdr:spPr>
        <a:xfrm xmlns:a="http://schemas.openxmlformats.org/drawingml/2006/main">
          <a:off x="2190750" y="1981200"/>
          <a:ext cx="1857375" cy="1200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0.20752</cdr:x>
      <cdr:y>0.1534</cdr:y>
    </cdr:from>
    <cdr:to>
      <cdr:x>0.69463</cdr:x>
      <cdr:y>0.48</cdr:y>
    </cdr:to>
    <cdr:sp macro="" textlink="">
      <cdr:nvSpPr>
        <cdr:cNvPr id="4" name="TextBox 3"/>
        <cdr:cNvSpPr txBox="1"/>
      </cdr:nvSpPr>
      <cdr:spPr>
        <a:xfrm xmlns:a="http://schemas.openxmlformats.org/drawingml/2006/main">
          <a:off x="1272540" y="708660"/>
          <a:ext cx="2987040" cy="1508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19050</xdr:colOff>
      <xdr:row>0</xdr:row>
      <xdr:rowOff>114300</xdr:rowOff>
    </xdr:from>
    <xdr:to>
      <xdr:col>6</xdr:col>
      <xdr:colOff>590550</xdr:colOff>
      <xdr:row>3</xdr:row>
      <xdr:rowOff>47625</xdr:rowOff>
    </xdr:to>
    <xdr:sp macro="" textlink="">
      <xdr:nvSpPr>
        <xdr:cNvPr id="2" name="TextBox 1"/>
        <xdr:cNvSpPr txBox="1"/>
      </xdr:nvSpPr>
      <xdr:spPr>
        <a:xfrm>
          <a:off x="628650" y="114300"/>
          <a:ext cx="43529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Wing characteristics of existing aircraft.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533399</xdr:colOff>
      <xdr:row>34</xdr:row>
      <xdr:rowOff>180974</xdr:rowOff>
    </xdr:from>
    <xdr:to>
      <xdr:col>19</xdr:col>
      <xdr:colOff>466725</xdr:colOff>
      <xdr:row>54</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390525</xdr:colOff>
      <xdr:row>38</xdr:row>
      <xdr:rowOff>142875</xdr:rowOff>
    </xdr:from>
    <xdr:to>
      <xdr:col>17</xdr:col>
      <xdr:colOff>314325</xdr:colOff>
      <xdr:row>43</xdr:row>
      <xdr:rowOff>171450</xdr:rowOff>
    </xdr:to>
    <xdr:sp macro="" textlink="">
      <xdr:nvSpPr>
        <xdr:cNvPr id="3" name="TextBox 2"/>
        <xdr:cNvSpPr txBox="1"/>
      </xdr:nvSpPr>
      <xdr:spPr>
        <a:xfrm>
          <a:off x="10172700" y="9686925"/>
          <a:ext cx="1752600" cy="98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D0</a:t>
          </a:r>
          <a:r>
            <a:rPr lang="en-US" sz="1100" baseline="0"/>
            <a:t> = 0.0175</a:t>
          </a:r>
        </a:p>
        <a:p>
          <a:r>
            <a:rPr lang="en-US" sz="1100" baseline="0"/>
            <a:t>AR = 10</a:t>
          </a:r>
        </a:p>
        <a:p>
          <a:r>
            <a:rPr lang="en-US" sz="1100" baseline="0"/>
            <a:t>e = 0.75</a:t>
          </a:r>
        </a:p>
        <a:p>
          <a:r>
            <a:rPr lang="en-US" sz="1100" baseline="0"/>
            <a:t>Gear up</a:t>
          </a:r>
          <a:endParaRPr lang="en-US" sz="1100"/>
        </a:p>
      </xdr:txBody>
    </xdr:sp>
    <xdr:clientData/>
  </xdr:twoCellAnchor>
  <xdr:twoCellAnchor>
    <xdr:from>
      <xdr:col>0</xdr:col>
      <xdr:colOff>114300</xdr:colOff>
      <xdr:row>25</xdr:row>
      <xdr:rowOff>180975</xdr:rowOff>
    </xdr:from>
    <xdr:to>
      <xdr:col>0</xdr:col>
      <xdr:colOff>1400175</xdr:colOff>
      <xdr:row>30</xdr:row>
      <xdr:rowOff>28574</xdr:rowOff>
    </xdr:to>
    <xdr:sp macro="" textlink="">
      <xdr:nvSpPr>
        <xdr:cNvPr id="4" name="TextBox 3"/>
        <xdr:cNvSpPr txBox="1"/>
      </xdr:nvSpPr>
      <xdr:spPr>
        <a:xfrm>
          <a:off x="114300" y="6324600"/>
          <a:ext cx="1285875" cy="952499"/>
        </a:xfrm>
        <a:prstGeom prst="rect">
          <a:avLst/>
        </a:prstGeom>
        <a:solidFill>
          <a:schemeClr val="lt1"/>
        </a:solidFill>
        <a:ln w="222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L/D vs C</a:t>
          </a:r>
          <a:r>
            <a:rPr lang="en-US" sz="1100" baseline="-25000"/>
            <a:t>L</a:t>
          </a:r>
          <a:r>
            <a:rPr lang="en-US" sz="1100"/>
            <a:t> </a:t>
          </a:r>
        </a:p>
        <a:p>
          <a:r>
            <a:rPr lang="en-US" sz="1100"/>
            <a:t>-Gear</a:t>
          </a:r>
          <a:r>
            <a:rPr lang="en-US" sz="1100" baseline="0"/>
            <a:t> retracted</a:t>
          </a:r>
        </a:p>
        <a:p>
          <a:r>
            <a:rPr lang="en-US" sz="1100" baseline="0"/>
            <a:t>-Flaps extended</a:t>
          </a:r>
        </a:p>
        <a:p>
          <a:r>
            <a:rPr lang="en-US" sz="1100" baseline="0"/>
            <a:t>-All Engines Operating</a:t>
          </a:r>
          <a:endParaRPr lang="en-US" sz="1100"/>
        </a:p>
      </xdr:txBody>
    </xdr:sp>
    <xdr:clientData/>
  </xdr:twoCellAnchor>
  <xdr:twoCellAnchor>
    <xdr:from>
      <xdr:col>0</xdr:col>
      <xdr:colOff>171450</xdr:colOff>
      <xdr:row>16</xdr:row>
      <xdr:rowOff>133350</xdr:rowOff>
    </xdr:from>
    <xdr:to>
      <xdr:col>0</xdr:col>
      <xdr:colOff>1381125</xdr:colOff>
      <xdr:row>20</xdr:row>
      <xdr:rowOff>171450</xdr:rowOff>
    </xdr:to>
    <xdr:sp macro="" textlink="">
      <xdr:nvSpPr>
        <xdr:cNvPr id="5" name="TextBox 4"/>
        <xdr:cNvSpPr txBox="1"/>
      </xdr:nvSpPr>
      <xdr:spPr>
        <a:xfrm>
          <a:off x="171450" y="4314825"/>
          <a:ext cx="1209675" cy="952500"/>
        </a:xfrm>
        <a:prstGeom prst="rect">
          <a:avLst/>
        </a:prstGeom>
        <a:solidFill>
          <a:schemeClr val="lt1"/>
        </a:solidFill>
        <a:ln w="222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C</a:t>
          </a:r>
          <a:r>
            <a:rPr lang="en-US" sz="1100" baseline="-25000"/>
            <a:t>D</a:t>
          </a:r>
          <a:r>
            <a:rPr lang="en-US" sz="1100"/>
            <a:t> vs C</a:t>
          </a:r>
          <a:r>
            <a:rPr lang="en-US" sz="1100" baseline="-25000"/>
            <a:t>L</a:t>
          </a:r>
          <a:r>
            <a:rPr lang="en-US" sz="1100" baseline="30000"/>
            <a:t>2</a:t>
          </a:r>
        </a:p>
        <a:p>
          <a:r>
            <a:rPr lang="en-US" sz="1100"/>
            <a:t>-Gear retracted</a:t>
          </a:r>
        </a:p>
        <a:p>
          <a:r>
            <a:rPr lang="en-US" sz="1100"/>
            <a:t>-Flaps</a:t>
          </a:r>
          <a:r>
            <a:rPr lang="en-US" sz="1100" baseline="0"/>
            <a:t> extended</a:t>
          </a:r>
        </a:p>
        <a:p>
          <a:r>
            <a:rPr lang="en-US" sz="1100" baseline="0"/>
            <a:t>-All Engines Operating</a:t>
          </a:r>
          <a:endParaRPr lang="en-US" sz="1100"/>
        </a:p>
      </xdr:txBody>
    </xdr:sp>
    <xdr:clientData/>
  </xdr:twoCellAnchor>
  <xdr:twoCellAnchor>
    <xdr:from>
      <xdr:col>0</xdr:col>
      <xdr:colOff>1000124</xdr:colOff>
      <xdr:row>35</xdr:row>
      <xdr:rowOff>19050</xdr:rowOff>
    </xdr:from>
    <xdr:to>
      <xdr:col>9</xdr:col>
      <xdr:colOff>171450</xdr:colOff>
      <xdr:row>55</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2</xdr:row>
      <xdr:rowOff>133350</xdr:rowOff>
    </xdr:from>
    <xdr:to>
      <xdr:col>11</xdr:col>
      <xdr:colOff>9525</xdr:colOff>
      <xdr:row>9</xdr:row>
      <xdr:rowOff>9525</xdr:rowOff>
    </xdr:to>
    <xdr:sp macro="" textlink="">
      <xdr:nvSpPr>
        <xdr:cNvPr id="6" name="TextBox 5"/>
        <xdr:cNvSpPr txBox="1"/>
      </xdr:nvSpPr>
      <xdr:spPr>
        <a:xfrm>
          <a:off x="3095625" y="514350"/>
          <a:ext cx="4867275" cy="1295400"/>
        </a:xfrm>
        <a:prstGeom prst="rect">
          <a:avLst/>
        </a:prstGeom>
        <a:solidFill>
          <a:schemeClr val="lt1"/>
        </a:solidFill>
        <a:ln w="22225"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 generates</a:t>
          </a:r>
          <a:r>
            <a:rPr lang="en-US" sz="1100" baseline="0"/>
            <a:t> low-speed aerodynamic data</a:t>
          </a:r>
          <a:endParaRPr lang="en-US" sz="1100"/>
        </a:p>
        <a:p>
          <a:r>
            <a:rPr lang="en-US" sz="1100"/>
            <a:t>Inputs</a:t>
          </a:r>
          <a:r>
            <a:rPr lang="en-US" sz="1100" baseline="0"/>
            <a:t> to this sheet are independent of the prior sheets.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5" sqref="A2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8:H31"/>
  <sheetViews>
    <sheetView workbookViewId="0">
      <selection activeCell="L34" sqref="L34"/>
    </sheetView>
  </sheetViews>
  <sheetFormatPr defaultRowHeight="15" x14ac:dyDescent="0.25"/>
  <cols>
    <col min="7" max="7" width="10.140625" customWidth="1"/>
  </cols>
  <sheetData>
    <row r="8" spans="2:8" ht="15.75" thickBot="1" x14ac:dyDescent="0.3"/>
    <row r="9" spans="2:8" ht="18" customHeight="1" x14ac:dyDescent="0.25">
      <c r="B9" s="55" t="s">
        <v>55</v>
      </c>
      <c r="C9" s="45" t="s">
        <v>56</v>
      </c>
      <c r="E9" s="43" t="s">
        <v>53</v>
      </c>
      <c r="F9" s="44" t="s">
        <v>52</v>
      </c>
      <c r="G9" s="44" t="s">
        <v>51</v>
      </c>
      <c r="H9" s="45" t="s">
        <v>50</v>
      </c>
    </row>
    <row r="10" spans="2:8" ht="15.75" thickBot="1" x14ac:dyDescent="0.3">
      <c r="B10" s="56"/>
      <c r="C10" s="46"/>
      <c r="E10" s="52"/>
      <c r="F10" s="53"/>
      <c r="G10" s="53"/>
      <c r="H10" s="54"/>
    </row>
    <row r="11" spans="2:8" ht="15" customHeight="1" thickBot="1" x14ac:dyDescent="0.3">
      <c r="B11" s="58"/>
      <c r="C11" s="54"/>
      <c r="E11" s="49">
        <v>-0.3</v>
      </c>
      <c r="F11" s="50">
        <v>0</v>
      </c>
      <c r="G11" s="50">
        <f>$C$16*((E11+$C$15)/$C$17)^$C$12+$C$14*(E11+$C$15)^$C$13</f>
        <v>9.7313678380790891E-8</v>
      </c>
      <c r="H11" s="51">
        <v>0</v>
      </c>
    </row>
    <row r="12" spans="2:8" x14ac:dyDescent="0.25">
      <c r="B12" s="49" t="s">
        <v>42</v>
      </c>
      <c r="C12" s="57">
        <v>22</v>
      </c>
      <c r="E12" s="4">
        <v>-0.25</v>
      </c>
      <c r="F12" s="38">
        <v>0</v>
      </c>
      <c r="G12" s="38">
        <f>$C$16*((E12+$C$15)/$C$17)^$C$12+$C$14*(E12+$C$15)^$C$13</f>
        <v>1.3772694215439614E-5</v>
      </c>
      <c r="H12" s="13">
        <v>0</v>
      </c>
    </row>
    <row r="13" spans="2:8" x14ac:dyDescent="0.25">
      <c r="B13" s="4" t="s">
        <v>43</v>
      </c>
      <c r="C13" s="18">
        <v>2.5</v>
      </c>
      <c r="E13" s="4">
        <v>-0.2</v>
      </c>
      <c r="F13" s="38">
        <v>2.0000000000000001E-4</v>
      </c>
      <c r="G13" s="38">
        <f>$C$16*((E13+$C$15)/$C$17)^$C$12+$C$14*(E13+$C$15)^$C$13</f>
        <v>6.5164086415074886E-5</v>
      </c>
      <c r="H13" s="13">
        <v>0</v>
      </c>
    </row>
    <row r="14" spans="2:8" x14ac:dyDescent="0.25">
      <c r="B14" s="4" t="s">
        <v>44</v>
      </c>
      <c r="C14" s="18">
        <v>1.7000000000000001E-2</v>
      </c>
      <c r="E14" s="4">
        <v>-0.1</v>
      </c>
      <c r="F14" s="38">
        <v>4.8500000000000003E-4</v>
      </c>
      <c r="G14" s="38">
        <f>$C$16*((E14+$C$15)/$C$17)^$C$12+$C$14*(E14+$C$15)^$C$13</f>
        <v>3.3566364549439669E-4</v>
      </c>
      <c r="H14" s="13">
        <f t="shared" ref="H14:H23" si="0">20*(E14+0.108)^4</f>
        <v>8.1919999999999717E-8</v>
      </c>
    </row>
    <row r="15" spans="2:8" x14ac:dyDescent="0.25">
      <c r="B15" s="4" t="s">
        <v>45</v>
      </c>
      <c r="C15" s="18">
        <v>0.308</v>
      </c>
      <c r="E15" s="4">
        <v>-0.05</v>
      </c>
      <c r="F15" s="38">
        <v>6.9999999999999999E-4</v>
      </c>
      <c r="G15" s="38">
        <f>$C$16*((E15+$C$15)/$C$17)^$C$12+$C$14*(E15+$C$15)^$C$13</f>
        <v>6.0101993068116749E-4</v>
      </c>
      <c r="H15" s="13">
        <f t="shared" si="0"/>
        <v>2.2632991999999992E-4</v>
      </c>
    </row>
    <row r="16" spans="2:8" x14ac:dyDescent="0.25">
      <c r="B16" s="4" t="s">
        <v>46</v>
      </c>
      <c r="C16" s="18">
        <v>0.04</v>
      </c>
      <c r="E16" s="4">
        <v>-0.03</v>
      </c>
      <c r="F16" s="38">
        <v>8.9999999999999998E-4</v>
      </c>
      <c r="G16" s="38">
        <f>$C$16*((E16+$C$15)/$C$17)^$C$12+$C$14*(E16+$C$15)^$C$13</f>
        <v>8.2836592388498237E-4</v>
      </c>
      <c r="H16" s="13">
        <f t="shared" si="0"/>
        <v>7.4030111999999991E-4</v>
      </c>
    </row>
    <row r="17" spans="2:8" x14ac:dyDescent="0.25">
      <c r="B17" s="4" t="s">
        <v>47</v>
      </c>
      <c r="C17" s="18">
        <v>0.36</v>
      </c>
      <c r="E17" s="4">
        <v>-0.02</v>
      </c>
      <c r="F17" s="38">
        <v>1.0499999999999999E-3</v>
      </c>
      <c r="G17" s="38">
        <f>$C$16*((E17+$C$15)/$C$17)^$C$12+$C$14*(E17+$C$15)^$C$13</f>
        <v>1.0518590682683819E-3</v>
      </c>
      <c r="H17" s="13">
        <f t="shared" si="0"/>
        <v>1.1993907199999998E-3</v>
      </c>
    </row>
    <row r="18" spans="2:8" ht="15.75" thickBot="1" x14ac:dyDescent="0.3">
      <c r="B18" s="47" t="s">
        <v>48</v>
      </c>
      <c r="C18" s="22">
        <v>0.308</v>
      </c>
      <c r="E18" s="4">
        <v>-0.01</v>
      </c>
      <c r="F18" s="38">
        <v>1.245E-3</v>
      </c>
      <c r="G18" s="38">
        <f>$C$16*((E18+$C$15)/$C$17)^$C$12+$C$14*(E18+$C$15)^$C$13</f>
        <v>1.4495254113483002E-3</v>
      </c>
      <c r="H18" s="13">
        <f t="shared" si="0"/>
        <v>1.8447363200000005E-3</v>
      </c>
    </row>
    <row r="19" spans="2:8" x14ac:dyDescent="0.25">
      <c r="E19" s="4">
        <v>0</v>
      </c>
      <c r="F19" s="38">
        <v>1.6000000000000001E-3</v>
      </c>
      <c r="G19" s="38">
        <f>$C$16*((E19+$C$15)/$C$17)^$C$12+$C$14*(E19+$C$15)^$C$13</f>
        <v>2.1877739461767997E-3</v>
      </c>
      <c r="H19" s="13">
        <f t="shared" si="0"/>
        <v>2.7209779199999992E-3</v>
      </c>
    </row>
    <row r="20" spans="2:8" x14ac:dyDescent="0.25">
      <c r="E20" s="4">
        <v>0.01</v>
      </c>
      <c r="F20" s="38">
        <v>2.745E-3</v>
      </c>
      <c r="G20" s="38">
        <f>$C$16*((E20+$C$15)/$C$17)^$C$12+$C$14*(E20+$C$15)^$C$13</f>
        <v>3.5803989844266368E-3</v>
      </c>
      <c r="H20" s="13">
        <f t="shared" si="0"/>
        <v>3.8775555199999996E-3</v>
      </c>
    </row>
    <row r="21" spans="2:8" x14ac:dyDescent="0.25">
      <c r="E21" s="4">
        <v>0.02</v>
      </c>
      <c r="F21" s="38">
        <v>5.45E-3</v>
      </c>
      <c r="G21" s="38">
        <f>$C$16*((E21+$C$15)/$C$17)^$C$12+$C$14*(E21+$C$15)^$C$13</f>
        <v>6.2072109658149891E-3</v>
      </c>
      <c r="H21" s="13">
        <f t="shared" si="0"/>
        <v>5.3687091199999997E-3</v>
      </c>
    </row>
    <row r="22" spans="2:8" x14ac:dyDescent="0.25">
      <c r="E22" s="4">
        <v>0.03</v>
      </c>
      <c r="F22" s="38">
        <v>1.0500000000000001E-2</v>
      </c>
      <c r="G22" s="38">
        <f>$C$16*((E22+$C$15)/$C$17)^$C$12+$C$14*(E22+$C$15)^$C$13</f>
        <v>1.1119280031415893E-2</v>
      </c>
      <c r="H22" s="13">
        <f t="shared" si="0"/>
        <v>7.2534787200000022E-3</v>
      </c>
    </row>
    <row r="23" spans="2:8" ht="15.75" thickBot="1" x14ac:dyDescent="0.3">
      <c r="E23" s="47">
        <v>0.04</v>
      </c>
      <c r="F23" s="48">
        <v>0.02</v>
      </c>
      <c r="G23" s="48">
        <f>$C$16*((E23+$C$15)/$C$17)^$C$12+$C$14*(E23+$C$15)^$C$13</f>
        <v>2.0188037502390867E-2</v>
      </c>
      <c r="H23" s="15">
        <f t="shared" si="0"/>
        <v>9.595704319999997E-3</v>
      </c>
    </row>
    <row r="27" spans="2:8" x14ac:dyDescent="0.25">
      <c r="G27" s="39"/>
    </row>
    <row r="28" spans="2:8" ht="18" customHeight="1" x14ac:dyDescent="0.25">
      <c r="G28" s="39"/>
    </row>
    <row r="29" spans="2:8" ht="15.75" thickBot="1" x14ac:dyDescent="0.3">
      <c r="G29" s="39"/>
    </row>
    <row r="30" spans="2:8" x14ac:dyDescent="0.25">
      <c r="D30" s="59" t="s">
        <v>49</v>
      </c>
      <c r="E30" s="60"/>
      <c r="F30" s="60"/>
      <c r="G30" s="61">
        <f>C16*C12/C17*(C18/C17)^(C12-1)+C14*C13*C15^(C13-1)</f>
        <v>9.9605257225313659E-2</v>
      </c>
    </row>
    <row r="31" spans="2:8" ht="18.75" thickBot="1" x14ac:dyDescent="0.4">
      <c r="D31" s="62" t="s">
        <v>54</v>
      </c>
      <c r="E31" s="63"/>
      <c r="F31" s="63"/>
      <c r="G31" s="64">
        <f>$C$16*((E31+$C$15)/$C$17)^$C$12+$C$14*(E31+$C$15)^$C$13</f>
        <v>2.1877739461767997E-3</v>
      </c>
    </row>
  </sheetData>
  <mergeCells count="8">
    <mergeCell ref="B9:B11"/>
    <mergeCell ref="C9:C11"/>
    <mergeCell ref="D30:F30"/>
    <mergeCell ref="D31:F31"/>
    <mergeCell ref="H9:H10"/>
    <mergeCell ref="E9:E10"/>
    <mergeCell ref="F9:F10"/>
    <mergeCell ref="G9:G10"/>
  </mergeCell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AE109"/>
  <sheetViews>
    <sheetView zoomScaleNormal="100" workbookViewId="0">
      <selection activeCell="M17" sqref="M17"/>
    </sheetView>
  </sheetViews>
  <sheetFormatPr defaultRowHeight="15" x14ac:dyDescent="0.25"/>
  <cols>
    <col min="1" max="1" width="27.42578125" customWidth="1"/>
    <col min="4" max="4" width="12.42578125" customWidth="1"/>
    <col min="5" max="5" width="12.5703125" bestFit="1" customWidth="1"/>
  </cols>
  <sheetData>
    <row r="10" spans="1:2" ht="15.75" thickBot="1" x14ac:dyDescent="0.3">
      <c r="A10" t="s">
        <v>6</v>
      </c>
    </row>
    <row r="11" spans="1:2" ht="18" x14ac:dyDescent="0.35">
      <c r="A11" s="17" t="s">
        <v>40</v>
      </c>
      <c r="B11" s="37">
        <v>0</v>
      </c>
    </row>
    <row r="12" spans="1:2" x14ac:dyDescent="0.25">
      <c r="A12" s="4" t="s">
        <v>7</v>
      </c>
      <c r="B12" s="36">
        <v>1.4999999999999999E-2</v>
      </c>
    </row>
    <row r="13" spans="1:2" x14ac:dyDescent="0.25">
      <c r="A13" s="4" t="s">
        <v>0</v>
      </c>
      <c r="B13" s="18">
        <v>7.21</v>
      </c>
    </row>
    <row r="14" spans="1:2" x14ac:dyDescent="0.25">
      <c r="A14" s="4" t="s">
        <v>1</v>
      </c>
      <c r="B14" s="18">
        <v>0.83</v>
      </c>
    </row>
    <row r="15" spans="1:2" x14ac:dyDescent="0.25">
      <c r="A15" s="19" t="s">
        <v>13</v>
      </c>
      <c r="B15" s="20">
        <v>0.11</v>
      </c>
    </row>
    <row r="16" spans="1:2" x14ac:dyDescent="0.25">
      <c r="A16" s="19" t="s">
        <v>15</v>
      </c>
      <c r="B16" s="20">
        <v>0.25</v>
      </c>
    </row>
    <row r="17" spans="1:28" x14ac:dyDescent="0.25">
      <c r="A17" s="19" t="s">
        <v>14</v>
      </c>
      <c r="B17" s="20">
        <v>35</v>
      </c>
    </row>
    <row r="18" spans="1:28" x14ac:dyDescent="0.25">
      <c r="A18" s="19" t="s">
        <v>16</v>
      </c>
      <c r="B18" s="13">
        <f>lambda1o4c*3.1416/180</f>
        <v>0.61086666666666667</v>
      </c>
    </row>
    <row r="19" spans="1:28" x14ac:dyDescent="0.25">
      <c r="A19" s="19" t="s">
        <v>39</v>
      </c>
      <c r="B19" s="13">
        <f>B20*180/3.1416</f>
        <v>28.092081830145588</v>
      </c>
    </row>
    <row r="20" spans="1:28" x14ac:dyDescent="0.25">
      <c r="A20" s="19" t="s">
        <v>38</v>
      </c>
      <c r="B20" s="13">
        <f>ATAN(TAN(B18)-((2*(1-lambda)/(AR*(1+lambda)))))</f>
        <v>0.49030046820880768</v>
      </c>
    </row>
    <row r="21" spans="1:28" ht="15.75" thickBot="1" x14ac:dyDescent="0.3">
      <c r="A21" s="21" t="s">
        <v>17</v>
      </c>
      <c r="B21" s="22">
        <v>0.91</v>
      </c>
      <c r="R21" s="1"/>
    </row>
    <row r="22" spans="1:28" x14ac:dyDescent="0.25">
      <c r="E22" s="2"/>
      <c r="F22" s="2"/>
      <c r="G22" s="2"/>
      <c r="H22" s="2"/>
      <c r="I22" s="2"/>
      <c r="J22" s="2"/>
      <c r="K22" s="2"/>
      <c r="L22" s="2"/>
      <c r="M22" s="2"/>
      <c r="N22" s="2"/>
      <c r="O22" s="2"/>
      <c r="P22" s="2"/>
      <c r="Q22" s="2"/>
      <c r="R22" s="2"/>
      <c r="S22" s="2"/>
      <c r="T22" s="2"/>
      <c r="U22" s="2"/>
      <c r="V22" s="2"/>
    </row>
    <row r="24" spans="1:28" ht="15.75" thickBot="1" x14ac:dyDescent="0.3">
      <c r="C24" s="6"/>
      <c r="D24" s="6"/>
    </row>
    <row r="25" spans="1:28" ht="15.75" thickBot="1" x14ac:dyDescent="0.3">
      <c r="B25" s="6"/>
      <c r="C25" s="6"/>
      <c r="D25" s="41" t="s">
        <v>2</v>
      </c>
      <c r="E25" s="40"/>
      <c r="F25" s="40"/>
      <c r="G25" s="40"/>
      <c r="H25" s="40"/>
      <c r="I25" s="40"/>
      <c r="J25" s="40"/>
      <c r="K25" s="40"/>
      <c r="L25" s="40"/>
      <c r="M25" s="40"/>
      <c r="N25" s="40"/>
      <c r="O25" s="40"/>
      <c r="P25" s="40"/>
      <c r="Q25" s="40"/>
      <c r="R25" s="40"/>
      <c r="S25" s="40"/>
      <c r="T25" s="40"/>
      <c r="U25" s="40"/>
      <c r="V25" s="40"/>
      <c r="W25" s="40"/>
      <c r="X25" s="40"/>
      <c r="Y25" s="40"/>
      <c r="Z25" s="40"/>
      <c r="AA25" s="40"/>
      <c r="AB25" s="42"/>
    </row>
    <row r="26" spans="1:28" ht="18" x14ac:dyDescent="0.35">
      <c r="B26" s="31" t="s">
        <v>8</v>
      </c>
      <c r="C26" s="32" t="s">
        <v>41</v>
      </c>
      <c r="D26" s="33">
        <v>0</v>
      </c>
      <c r="E26" s="34">
        <v>0.5</v>
      </c>
      <c r="F26" s="34">
        <v>0.6</v>
      </c>
      <c r="G26" s="34">
        <v>0.7</v>
      </c>
      <c r="H26" s="34">
        <v>0.75</v>
      </c>
      <c r="I26" s="34">
        <v>0.76</v>
      </c>
      <c r="J26" s="34">
        <v>0.77</v>
      </c>
      <c r="K26" s="34">
        <v>0.78</v>
      </c>
      <c r="L26" s="34">
        <v>0.79</v>
      </c>
      <c r="M26" s="34">
        <v>0.8</v>
      </c>
      <c r="N26" s="34">
        <v>0.81</v>
      </c>
      <c r="O26" s="34">
        <v>0.82</v>
      </c>
      <c r="P26" s="34">
        <v>0.83</v>
      </c>
      <c r="Q26" s="34">
        <v>0.84</v>
      </c>
      <c r="R26" s="34">
        <v>0.85</v>
      </c>
      <c r="S26" s="34">
        <v>0.86</v>
      </c>
      <c r="T26" s="34">
        <v>0.87</v>
      </c>
      <c r="U26" s="34">
        <v>0.88</v>
      </c>
      <c r="V26" s="34">
        <v>0.89</v>
      </c>
      <c r="W26" s="34">
        <v>0.9</v>
      </c>
      <c r="X26" s="34">
        <v>0.91</v>
      </c>
      <c r="Y26" s="34">
        <v>0.92</v>
      </c>
      <c r="Z26" s="34">
        <v>0.93</v>
      </c>
      <c r="AA26" s="34">
        <v>0.94</v>
      </c>
      <c r="AB26" s="35">
        <v>0.95</v>
      </c>
    </row>
    <row r="27" spans="1:28" x14ac:dyDescent="0.25">
      <c r="B27" s="28">
        <v>0</v>
      </c>
      <c r="C27" s="25">
        <f t="shared" ref="C27:C41" si="0">Ka/COS(lambdaco2) -$B$15/(COS(lambdaco2))^2 -B27/(10*(COS(lambdaco2))^3)</f>
        <v>0.89018153792224997</v>
      </c>
      <c r="D27" s="3">
        <f t="shared" ref="D27:AB27" si="1">$B27/D77</f>
        <v>0</v>
      </c>
      <c r="E27" s="3">
        <f t="shared" si="1"/>
        <v>0</v>
      </c>
      <c r="F27" s="3">
        <f t="shared" si="1"/>
        <v>0</v>
      </c>
      <c r="G27" s="3">
        <f t="shared" si="1"/>
        <v>0</v>
      </c>
      <c r="H27" s="3">
        <f t="shared" si="1"/>
        <v>0</v>
      </c>
      <c r="I27" s="3">
        <f t="shared" si="1"/>
        <v>0</v>
      </c>
      <c r="J27" s="3">
        <f t="shared" si="1"/>
        <v>0</v>
      </c>
      <c r="K27" s="3">
        <f t="shared" si="1"/>
        <v>0</v>
      </c>
      <c r="L27" s="3">
        <f t="shared" si="1"/>
        <v>0</v>
      </c>
      <c r="M27" s="3">
        <f t="shared" si="1"/>
        <v>0</v>
      </c>
      <c r="N27" s="3">
        <f t="shared" si="1"/>
        <v>0</v>
      </c>
      <c r="O27" s="3">
        <f t="shared" si="1"/>
        <v>0</v>
      </c>
      <c r="P27" s="3">
        <f t="shared" si="1"/>
        <v>0</v>
      </c>
      <c r="Q27" s="3">
        <f t="shared" si="1"/>
        <v>0</v>
      </c>
      <c r="R27" s="3">
        <f t="shared" si="1"/>
        <v>0</v>
      </c>
      <c r="S27" s="3">
        <f t="shared" si="1"/>
        <v>0</v>
      </c>
      <c r="T27" s="3">
        <f t="shared" si="1"/>
        <v>0</v>
      </c>
      <c r="U27" s="3">
        <f t="shared" si="1"/>
        <v>0</v>
      </c>
      <c r="V27" s="3">
        <f t="shared" si="1"/>
        <v>0</v>
      </c>
      <c r="W27" s="3">
        <f t="shared" si="1"/>
        <v>0</v>
      </c>
      <c r="X27" s="3">
        <f t="shared" si="1"/>
        <v>0</v>
      </c>
      <c r="Y27" s="3">
        <f t="shared" si="1"/>
        <v>0</v>
      </c>
      <c r="Z27" s="3">
        <f t="shared" si="1"/>
        <v>0</v>
      </c>
      <c r="AA27" s="3">
        <f t="shared" si="1"/>
        <v>0</v>
      </c>
      <c r="AB27" s="13">
        <f t="shared" si="1"/>
        <v>0</v>
      </c>
    </row>
    <row r="28" spans="1:28" x14ac:dyDescent="0.25">
      <c r="B28" s="28">
        <v>0.1</v>
      </c>
      <c r="C28" s="25">
        <f t="shared" si="0"/>
        <v>0.87561650317800477</v>
      </c>
      <c r="D28" s="3">
        <f t="shared" ref="D28:AB28" si="2">$B28/D78</f>
        <v>6.4383588960650524</v>
      </c>
      <c r="E28" s="3">
        <f t="shared" si="2"/>
        <v>6.4383588960650524</v>
      </c>
      <c r="F28" s="3">
        <f t="shared" si="2"/>
        <v>6.4370293023716396</v>
      </c>
      <c r="G28" s="3">
        <f t="shared" si="2"/>
        <v>6.393735416740892</v>
      </c>
      <c r="H28" s="3">
        <f t="shared" si="2"/>
        <v>6.3397797559826028</v>
      </c>
      <c r="I28" s="3">
        <f t="shared" si="2"/>
        <v>6.3259414619148799</v>
      </c>
      <c r="J28" s="3">
        <f t="shared" si="2"/>
        <v>6.3110273212989112</v>
      </c>
      <c r="K28" s="3">
        <f t="shared" si="2"/>
        <v>6.2949860741796728</v>
      </c>
      <c r="L28" s="3">
        <f t="shared" si="2"/>
        <v>6.2777110173772481</v>
      </c>
      <c r="M28" s="3">
        <f t="shared" si="2"/>
        <v>6.258962884570165</v>
      </c>
      <c r="N28" s="3">
        <f t="shared" si="2"/>
        <v>6.2382019543417648</v>
      </c>
      <c r="O28" s="3">
        <f t="shared" si="2"/>
        <v>6.2142360408636002</v>
      </c>
      <c r="P28" s="3">
        <f t="shared" si="2"/>
        <v>6.1845101410530798</v>
      </c>
      <c r="Q28" s="3">
        <f t="shared" si="2"/>
        <v>6.1437339497686354</v>
      </c>
      <c r="R28" s="3">
        <f t="shared" si="2"/>
        <v>6.0813813231794711</v>
      </c>
      <c r="S28" s="3">
        <f t="shared" si="2"/>
        <v>5.9775575642720895</v>
      </c>
      <c r="T28" s="3">
        <f t="shared" si="2"/>
        <v>5.7974319008429429</v>
      </c>
      <c r="U28" s="3">
        <f t="shared" si="2"/>
        <v>5.487486736991638</v>
      </c>
      <c r="V28" s="3">
        <f t="shared" si="2"/>
        <v>4.9841188436590276</v>
      </c>
      <c r="W28" s="3">
        <f t="shared" si="2"/>
        <v>4.2508647605648973</v>
      </c>
      <c r="X28" s="3">
        <f t="shared" si="2"/>
        <v>3.3375186600064963</v>
      </c>
      <c r="Y28" s="3">
        <f t="shared" si="2"/>
        <v>2.3938378158283795</v>
      </c>
      <c r="Z28" s="3">
        <f t="shared" si="2"/>
        <v>1.5841424731537948</v>
      </c>
      <c r="AA28" s="3">
        <f t="shared" si="2"/>
        <v>0.98865388653892727</v>
      </c>
      <c r="AB28" s="13">
        <f t="shared" si="2"/>
        <v>0.59572146458098707</v>
      </c>
    </row>
    <row r="29" spans="1:28" x14ac:dyDescent="0.25">
      <c r="B29" s="28">
        <v>0.2</v>
      </c>
      <c r="C29" s="25">
        <f t="shared" si="0"/>
        <v>0.86105146843375968</v>
      </c>
      <c r="D29" s="3">
        <f t="shared" ref="D29:AB29" si="3">$B29/D79</f>
        <v>11.677036604633329</v>
      </c>
      <c r="E29" s="3">
        <f t="shared" si="3"/>
        <v>11.677036604633329</v>
      </c>
      <c r="F29" s="3">
        <f t="shared" si="3"/>
        <v>11.671503951774758</v>
      </c>
      <c r="G29" s="3">
        <f t="shared" si="3"/>
        <v>11.581878879333324</v>
      </c>
      <c r="H29" s="3">
        <f t="shared" si="3"/>
        <v>11.480831971256565</v>
      </c>
      <c r="I29" s="3">
        <f t="shared" si="3"/>
        <v>11.455377311753201</v>
      </c>
      <c r="J29" s="3">
        <f t="shared" si="3"/>
        <v>11.427985697343622</v>
      </c>
      <c r="K29" s="3">
        <f t="shared" si="3"/>
        <v>11.398400339634801</v>
      </c>
      <c r="L29" s="3">
        <f t="shared" si="3"/>
        <v>11.366043347887004</v>
      </c>
      <c r="M29" s="3">
        <f t="shared" si="3"/>
        <v>11.329623290209121</v>
      </c>
      <c r="N29" s="3">
        <f t="shared" si="3"/>
        <v>11.286325181140132</v>
      </c>
      <c r="O29" s="3">
        <f t="shared" si="3"/>
        <v>11.230202487985494</v>
      </c>
      <c r="P29" s="3">
        <f t="shared" si="3"/>
        <v>11.149130864325871</v>
      </c>
      <c r="Q29" s="3">
        <f t="shared" si="3"/>
        <v>11.019414253888931</v>
      </c>
      <c r="R29" s="3">
        <f t="shared" si="3"/>
        <v>10.797318294634383</v>
      </c>
      <c r="S29" s="3">
        <f t="shared" si="3"/>
        <v>10.409023981939068</v>
      </c>
      <c r="T29" s="3">
        <f t="shared" si="3"/>
        <v>9.748223133337099</v>
      </c>
      <c r="U29" s="3">
        <f t="shared" si="3"/>
        <v>8.7052783815562442</v>
      </c>
      <c r="V29" s="3">
        <f t="shared" si="3"/>
        <v>7.2526007478241246</v>
      </c>
      <c r="W29" s="3">
        <f t="shared" si="3"/>
        <v>5.5425423340518813</v>
      </c>
      <c r="X29" s="3">
        <f t="shared" si="3"/>
        <v>3.8766904661326032</v>
      </c>
      <c r="Y29" s="3">
        <f t="shared" si="3"/>
        <v>2.5179897201374817</v>
      </c>
      <c r="Z29" s="3">
        <f t="shared" si="3"/>
        <v>1.5544147982901657</v>
      </c>
      <c r="AA29" s="3">
        <f t="shared" si="3"/>
        <v>0.93242610824849448</v>
      </c>
      <c r="AB29" s="13">
        <f t="shared" si="3"/>
        <v>0.55245068496938976</v>
      </c>
    </row>
    <row r="30" spans="1:28" x14ac:dyDescent="0.25">
      <c r="B30" s="28">
        <v>0.25</v>
      </c>
      <c r="C30" s="25">
        <f t="shared" si="0"/>
        <v>0.85376895106163708</v>
      </c>
      <c r="D30" s="3">
        <f t="shared" ref="D30:AB30" si="4">$B30/D80</f>
        <v>13.642991477430336</v>
      </c>
      <c r="E30" s="3">
        <f t="shared" si="4"/>
        <v>13.642991477430336</v>
      </c>
      <c r="F30" s="3">
        <f t="shared" si="4"/>
        <v>13.634328398278393</v>
      </c>
      <c r="G30" s="3">
        <f t="shared" si="4"/>
        <v>13.525769001953153</v>
      </c>
      <c r="H30" s="3">
        <f t="shared" si="4"/>
        <v>13.408402313486148</v>
      </c>
      <c r="I30" s="3">
        <f t="shared" si="4"/>
        <v>13.379008128633711</v>
      </c>
      <c r="J30" s="3">
        <f t="shared" si="4"/>
        <v>13.347302129729675</v>
      </c>
      <c r="K30" s="3">
        <f t="shared" si="4"/>
        <v>13.312774401826713</v>
      </c>
      <c r="L30" s="3">
        <f t="shared" si="4"/>
        <v>13.274281889172009</v>
      </c>
      <c r="M30" s="3">
        <f t="shared" si="4"/>
        <v>13.229314599246431</v>
      </c>
      <c r="N30" s="3">
        <f t="shared" si="4"/>
        <v>13.172520813302683</v>
      </c>
      <c r="O30" s="3">
        <f t="shared" si="4"/>
        <v>13.092867194018268</v>
      </c>
      <c r="P30" s="3">
        <f t="shared" si="4"/>
        <v>12.96847669723963</v>
      </c>
      <c r="Q30" s="3">
        <f t="shared" si="4"/>
        <v>12.758097766422106</v>
      </c>
      <c r="R30" s="3">
        <f t="shared" si="4"/>
        <v>12.389537188844457</v>
      </c>
      <c r="S30" s="3">
        <f t="shared" si="4"/>
        <v>11.751461753498635</v>
      </c>
      <c r="T30" s="3">
        <f t="shared" si="4"/>
        <v>10.709668334156968</v>
      </c>
      <c r="U30" s="3">
        <f t="shared" si="4"/>
        <v>9.1815763487818938</v>
      </c>
      <c r="V30" s="3">
        <f t="shared" si="4"/>
        <v>7.2594455236952067</v>
      </c>
      <c r="W30" s="3">
        <f t="shared" si="4"/>
        <v>5.248828145043074</v>
      </c>
      <c r="X30" s="3">
        <f t="shared" si="4"/>
        <v>3.5008976640212475</v>
      </c>
      <c r="Y30" s="3">
        <f t="shared" si="4"/>
        <v>2.1999107813841317</v>
      </c>
      <c r="Z30" s="3">
        <f t="shared" si="4"/>
        <v>1.3330217247661231</v>
      </c>
      <c r="AA30" s="3">
        <f t="shared" si="4"/>
        <v>0.79351968796669403</v>
      </c>
      <c r="AB30" s="13">
        <f t="shared" si="4"/>
        <v>0.46985761536315657</v>
      </c>
    </row>
    <row r="31" spans="1:28" x14ac:dyDescent="0.25">
      <c r="B31" s="28">
        <v>0.3</v>
      </c>
      <c r="C31" s="25">
        <f t="shared" si="0"/>
        <v>0.84648643368951448</v>
      </c>
      <c r="D31" s="3">
        <f t="shared" ref="D31:AB31" si="5">$B31/D81</f>
        <v>15.161335766393712</v>
      </c>
      <c r="E31" s="3">
        <f t="shared" si="5"/>
        <v>15.161335766393712</v>
      </c>
      <c r="F31" s="3">
        <f t="shared" si="5"/>
        <v>15.149121149860481</v>
      </c>
      <c r="G31" s="3">
        <f t="shared" si="5"/>
        <v>15.025993641108883</v>
      </c>
      <c r="H31" s="3">
        <f t="shared" si="5"/>
        <v>14.897737370739989</v>
      </c>
      <c r="I31" s="3">
        <f t="shared" si="5"/>
        <v>14.865695205066412</v>
      </c>
      <c r="J31" s="3">
        <f t="shared" si="5"/>
        <v>14.830915755534763</v>
      </c>
      <c r="K31" s="3">
        <f t="shared" si="5"/>
        <v>14.792446341131622</v>
      </c>
      <c r="L31" s="3">
        <f t="shared" si="5"/>
        <v>14.748181778689119</v>
      </c>
      <c r="M31" s="3">
        <f t="shared" si="5"/>
        <v>14.693594249923889</v>
      </c>
      <c r="N31" s="3">
        <f t="shared" si="5"/>
        <v>14.61925148802206</v>
      </c>
      <c r="O31" s="3">
        <f t="shared" si="5"/>
        <v>14.506205166725815</v>
      </c>
      <c r="P31" s="3">
        <f t="shared" si="5"/>
        <v>14.318056226446384</v>
      </c>
      <c r="Q31" s="3">
        <f t="shared" si="5"/>
        <v>13.989153233846311</v>
      </c>
      <c r="R31" s="3">
        <f t="shared" si="5"/>
        <v>13.412543740976243</v>
      </c>
      <c r="S31" s="3">
        <f t="shared" si="5"/>
        <v>12.443697355092237</v>
      </c>
      <c r="T31" s="3">
        <f t="shared" si="5"/>
        <v>10.954623706792555</v>
      </c>
      <c r="U31" s="3">
        <f t="shared" si="5"/>
        <v>8.9583651544795941</v>
      </c>
      <c r="V31" s="3">
        <f t="shared" si="5"/>
        <v>6.7115754110421548</v>
      </c>
      <c r="W31" s="3">
        <f t="shared" si="5"/>
        <v>4.6160334030298209</v>
      </c>
      <c r="X31" s="3">
        <f t="shared" si="5"/>
        <v>2.9652252778029626</v>
      </c>
      <c r="Y31" s="3">
        <f t="shared" si="5"/>
        <v>1.821046235423325</v>
      </c>
      <c r="Z31" s="3">
        <f t="shared" si="5"/>
        <v>1.0915673236953747</v>
      </c>
      <c r="AA31" s="3">
        <f t="shared" si="5"/>
        <v>0.64808677399446524</v>
      </c>
      <c r="AB31" s="13">
        <f t="shared" si="5"/>
        <v>0.38463472698051299</v>
      </c>
    </row>
    <row r="32" spans="1:28" x14ac:dyDescent="0.25">
      <c r="B32" s="28">
        <v>0.35</v>
      </c>
      <c r="C32" s="25">
        <f t="shared" si="0"/>
        <v>0.83920391631739188</v>
      </c>
      <c r="D32" s="3">
        <f t="shared" ref="D32:AB32" si="6">$B32/D82</f>
        <v>16.267057324657952</v>
      </c>
      <c r="E32" s="3">
        <f t="shared" si="6"/>
        <v>16.267057324657952</v>
      </c>
      <c r="F32" s="3">
        <f t="shared" si="6"/>
        <v>16.251117541982765</v>
      </c>
      <c r="G32" s="3">
        <f t="shared" si="6"/>
        <v>16.117980043021678</v>
      </c>
      <c r="H32" s="3">
        <f t="shared" si="6"/>
        <v>15.983746169088537</v>
      </c>
      <c r="I32" s="3">
        <f t="shared" si="6"/>
        <v>15.950117748367878</v>
      </c>
      <c r="J32" s="3">
        <f t="shared" si="6"/>
        <v>15.913157571845902</v>
      </c>
      <c r="K32" s="3">
        <f t="shared" si="6"/>
        <v>15.87117597318888</v>
      </c>
      <c r="L32" s="3">
        <f t="shared" si="6"/>
        <v>15.820509565831628</v>
      </c>
      <c r="M32" s="3">
        <f t="shared" si="6"/>
        <v>15.753452224274151</v>
      </c>
      <c r="N32" s="3">
        <f t="shared" si="6"/>
        <v>15.654338085404648</v>
      </c>
      <c r="O32" s="3">
        <f t="shared" si="6"/>
        <v>15.492583347839529</v>
      </c>
      <c r="P32" s="3">
        <f t="shared" si="6"/>
        <v>15.211622359093125</v>
      </c>
      <c r="Q32" s="3">
        <f t="shared" si="6"/>
        <v>14.715165376763913</v>
      </c>
      <c r="R32" s="3">
        <f t="shared" si="6"/>
        <v>13.861387773570428</v>
      </c>
      <c r="S32" s="3">
        <f t="shared" si="6"/>
        <v>12.494600171942556</v>
      </c>
      <c r="T32" s="3">
        <f t="shared" si="6"/>
        <v>10.550916713729219</v>
      </c>
      <c r="U32" s="3">
        <f t="shared" si="6"/>
        <v>8.1988247221182569</v>
      </c>
      <c r="V32" s="3">
        <f t="shared" si="6"/>
        <v>5.8347982494825024</v>
      </c>
      <c r="W32" s="3">
        <f t="shared" si="6"/>
        <v>3.848246339181626</v>
      </c>
      <c r="X32" s="3">
        <f t="shared" si="6"/>
        <v>2.4043314880695013</v>
      </c>
      <c r="Y32" s="3">
        <f t="shared" si="6"/>
        <v>1.4551099951860613</v>
      </c>
      <c r="Z32" s="3">
        <f t="shared" si="6"/>
        <v>0.86774027863746173</v>
      </c>
      <c r="AA32" s="3">
        <f t="shared" si="6"/>
        <v>0.51561389013618686</v>
      </c>
      <c r="AB32" s="13">
        <f t="shared" si="6"/>
        <v>0.30730676746354285</v>
      </c>
    </row>
    <row r="33" spans="2:28" x14ac:dyDescent="0.25">
      <c r="B33" s="28">
        <v>0.4</v>
      </c>
      <c r="C33" s="25">
        <f t="shared" si="0"/>
        <v>0.83192139894526929</v>
      </c>
      <c r="D33" s="3">
        <f t="shared" ref="D33:AB33" si="7">$B33/D83</f>
        <v>17.013650962113417</v>
      </c>
      <c r="E33" s="3">
        <f t="shared" si="7"/>
        <v>17.013650962113417</v>
      </c>
      <c r="F33" s="3">
        <f t="shared" si="7"/>
        <v>16.994033662797047</v>
      </c>
      <c r="G33" s="3">
        <f t="shared" si="7"/>
        <v>16.855090276675519</v>
      </c>
      <c r="H33" s="3">
        <f t="shared" si="7"/>
        <v>16.718837083158881</v>
      </c>
      <c r="I33" s="3">
        <f t="shared" si="7"/>
        <v>16.684319891318943</v>
      </c>
      <c r="J33" s="3">
        <f t="shared" si="7"/>
        <v>16.645538073665698</v>
      </c>
      <c r="K33" s="3">
        <f t="shared" si="7"/>
        <v>16.599623958909699</v>
      </c>
      <c r="L33" s="3">
        <f t="shared" si="7"/>
        <v>16.540490088510204</v>
      </c>
      <c r="M33" s="3">
        <f t="shared" si="7"/>
        <v>16.45562553716001</v>
      </c>
      <c r="N33" s="3">
        <f t="shared" si="7"/>
        <v>16.320257055012146</v>
      </c>
      <c r="O33" s="3">
        <f t="shared" si="7"/>
        <v>16.087593121785051</v>
      </c>
      <c r="P33" s="3">
        <f t="shared" si="7"/>
        <v>15.675121876630396</v>
      </c>
      <c r="Q33" s="3">
        <f t="shared" si="7"/>
        <v>14.953023253682112</v>
      </c>
      <c r="R33" s="3">
        <f t="shared" si="7"/>
        <v>13.756644735233399</v>
      </c>
      <c r="S33" s="3">
        <f t="shared" si="7"/>
        <v>11.96305575051306</v>
      </c>
      <c r="T33" s="3">
        <f t="shared" si="7"/>
        <v>9.6371561046484384</v>
      </c>
      <c r="U33" s="3">
        <f t="shared" si="7"/>
        <v>7.1134123115536063</v>
      </c>
      <c r="V33" s="3">
        <f t="shared" si="7"/>
        <v>4.8365276485781292</v>
      </c>
      <c r="W33" s="3">
        <f t="shared" si="7"/>
        <v>3.0867590311979716</v>
      </c>
      <c r="X33" s="3">
        <f t="shared" si="7"/>
        <v>1.8920582247568729</v>
      </c>
      <c r="Y33" s="3">
        <f t="shared" si="7"/>
        <v>1.1356384470900756</v>
      </c>
      <c r="Z33" s="3">
        <f t="shared" si="7"/>
        <v>0.67646293447140848</v>
      </c>
      <c r="AA33" s="3">
        <f t="shared" si="7"/>
        <v>0.40320719828699142</v>
      </c>
      <c r="AB33" s="13">
        <f t="shared" si="7"/>
        <v>0.24161996533441335</v>
      </c>
    </row>
    <row r="34" spans="2:28" x14ac:dyDescent="0.25">
      <c r="B34" s="28">
        <v>0.45</v>
      </c>
      <c r="C34" s="25">
        <f t="shared" si="0"/>
        <v>0.82463888157314669</v>
      </c>
      <c r="D34" s="3">
        <f t="shared" ref="D34:AB34" si="8">$B34/D84</f>
        <v>17.461390726121333</v>
      </c>
      <c r="E34" s="3">
        <f t="shared" si="8"/>
        <v>17.461390726121333</v>
      </c>
      <c r="F34" s="3">
        <f t="shared" si="8"/>
        <v>17.438311114751624</v>
      </c>
      <c r="G34" s="3">
        <f t="shared" si="8"/>
        <v>17.297111604722254</v>
      </c>
      <c r="H34" s="3">
        <f t="shared" si="8"/>
        <v>17.161655654267705</v>
      </c>
      <c r="I34" s="3">
        <f t="shared" si="8"/>
        <v>17.126491835096012</v>
      </c>
      <c r="J34" s="3">
        <f t="shared" si="8"/>
        <v>17.085556094698962</v>
      </c>
      <c r="K34" s="3">
        <f t="shared" si="8"/>
        <v>17.034159359848235</v>
      </c>
      <c r="L34" s="3">
        <f t="shared" si="8"/>
        <v>16.962567005670326</v>
      </c>
      <c r="M34" s="3">
        <f t="shared" si="8"/>
        <v>16.851259008850153</v>
      </c>
      <c r="N34" s="3">
        <f t="shared" si="8"/>
        <v>16.662706191655886</v>
      </c>
      <c r="O34" s="3">
        <f t="shared" si="8"/>
        <v>16.328816658441866</v>
      </c>
      <c r="P34" s="3">
        <f t="shared" si="8"/>
        <v>15.736838193029834</v>
      </c>
      <c r="Q34" s="3">
        <f t="shared" si="8"/>
        <v>14.728193493115755</v>
      </c>
      <c r="R34" s="3">
        <f t="shared" si="8"/>
        <v>13.145193270516694</v>
      </c>
      <c r="S34" s="3">
        <f t="shared" si="8"/>
        <v>10.957261767108408</v>
      </c>
      <c r="T34" s="3">
        <f t="shared" si="8"/>
        <v>8.3967246997016005</v>
      </c>
      <c r="U34" s="3">
        <f t="shared" si="8"/>
        <v>5.9056607972953135</v>
      </c>
      <c r="V34" s="3">
        <f t="shared" si="8"/>
        <v>3.8661612223264674</v>
      </c>
      <c r="W34" s="3">
        <f t="shared" si="8"/>
        <v>2.4086579291437489</v>
      </c>
      <c r="X34" s="3">
        <f t="shared" si="8"/>
        <v>1.4587079357903823</v>
      </c>
      <c r="Y34" s="3">
        <f t="shared" si="8"/>
        <v>0.87240896141584634</v>
      </c>
      <c r="Z34" s="3">
        <f t="shared" si="8"/>
        <v>0.52052837839303034</v>
      </c>
      <c r="AA34" s="3">
        <f t="shared" si="8"/>
        <v>0.31169943837885439</v>
      </c>
      <c r="AB34" s="13">
        <f t="shared" si="8"/>
        <v>0.18794184234819281</v>
      </c>
    </row>
    <row r="35" spans="2:28" x14ac:dyDescent="0.25">
      <c r="B35" s="28">
        <v>0.5</v>
      </c>
      <c r="C35" s="25">
        <f t="shared" si="0"/>
        <v>0.8173563642010242</v>
      </c>
      <c r="D35" s="3">
        <f t="shared" ref="D35:AB35" si="9">$B35/D85</f>
        <v>17.669275801410745</v>
      </c>
      <c r="E35" s="3">
        <f t="shared" si="9"/>
        <v>17.669275801410745</v>
      </c>
      <c r="F35" s="3">
        <f t="shared" si="9"/>
        <v>17.643056881678444</v>
      </c>
      <c r="G35" s="3">
        <f t="shared" si="9"/>
        <v>17.502395425582915</v>
      </c>
      <c r="H35" s="3">
        <f t="shared" si="9"/>
        <v>17.369368123688318</v>
      </c>
      <c r="I35" s="3">
        <f t="shared" si="9"/>
        <v>17.333262393297161</v>
      </c>
      <c r="J35" s="3">
        <f t="shared" si="9"/>
        <v>17.288975812787843</v>
      </c>
      <c r="K35" s="3">
        <f t="shared" si="9"/>
        <v>17.229080821472952</v>
      </c>
      <c r="L35" s="3">
        <f t="shared" si="9"/>
        <v>17.138513648369784</v>
      </c>
      <c r="M35" s="3">
        <f t="shared" si="9"/>
        <v>16.987869236050933</v>
      </c>
      <c r="N35" s="3">
        <f t="shared" si="9"/>
        <v>16.722540694773119</v>
      </c>
      <c r="O35" s="3">
        <f t="shared" si="9"/>
        <v>16.248412050727527</v>
      </c>
      <c r="P35" s="3">
        <f t="shared" si="9"/>
        <v>15.422580632498731</v>
      </c>
      <c r="Q35" s="3">
        <f t="shared" si="9"/>
        <v>14.075459999781101</v>
      </c>
      <c r="R35" s="3">
        <f t="shared" si="9"/>
        <v>12.104477646416415</v>
      </c>
      <c r="S35" s="3">
        <f t="shared" si="9"/>
        <v>9.6253544875500161</v>
      </c>
      <c r="T35" s="3">
        <f t="shared" si="9"/>
        <v>7.0196357797175706</v>
      </c>
      <c r="U35" s="3">
        <f t="shared" si="9"/>
        <v>4.7323505198719777</v>
      </c>
      <c r="V35" s="3">
        <f t="shared" si="9"/>
        <v>3.0081138058683132</v>
      </c>
      <c r="W35" s="3">
        <f t="shared" si="9"/>
        <v>1.8434361680751912</v>
      </c>
      <c r="X35" s="3">
        <f t="shared" si="9"/>
        <v>1.1090524867183964</v>
      </c>
      <c r="Y35" s="3">
        <f t="shared" si="9"/>
        <v>0.66316024558044961</v>
      </c>
      <c r="Z35" s="3">
        <f t="shared" si="9"/>
        <v>0.39709056958822042</v>
      </c>
      <c r="AA35" s="3">
        <f t="shared" si="9"/>
        <v>0.23911950569538484</v>
      </c>
      <c r="AB35" s="13">
        <f t="shared" si="9"/>
        <v>0.14513739029643929</v>
      </c>
    </row>
    <row r="36" spans="2:28" x14ac:dyDescent="0.25">
      <c r="B36" s="28">
        <v>0.55000000000000004</v>
      </c>
      <c r="C36" s="25">
        <f t="shared" si="0"/>
        <v>0.8100738468289016</v>
      </c>
      <c r="D36" s="3">
        <f t="shared" ref="D36:AB36" si="10">$B36/D86</f>
        <v>17.690447045726749</v>
      </c>
      <c r="E36" s="3">
        <f t="shared" si="10"/>
        <v>17.690447045726749</v>
      </c>
      <c r="F36" s="3">
        <f t="shared" si="10"/>
        <v>17.66146703438622</v>
      </c>
      <c r="G36" s="3">
        <f t="shared" si="10"/>
        <v>17.523409363666914</v>
      </c>
      <c r="H36" s="3">
        <f t="shared" si="10"/>
        <v>17.393254474791974</v>
      </c>
      <c r="I36" s="3">
        <f t="shared" si="10"/>
        <v>17.355265680429714</v>
      </c>
      <c r="J36" s="3">
        <f t="shared" si="10"/>
        <v>17.305332799693947</v>
      </c>
      <c r="K36" s="3">
        <f t="shared" si="10"/>
        <v>17.232011527907027</v>
      </c>
      <c r="L36" s="3">
        <f t="shared" si="10"/>
        <v>17.112664289264707</v>
      </c>
      <c r="M36" s="3">
        <f t="shared" si="10"/>
        <v>16.904435018594672</v>
      </c>
      <c r="N36" s="3">
        <f t="shared" si="10"/>
        <v>16.531080827230966</v>
      </c>
      <c r="O36" s="3">
        <f t="shared" si="10"/>
        <v>15.869921692502318</v>
      </c>
      <c r="P36" s="3">
        <f t="shared" si="10"/>
        <v>14.756642443751469</v>
      </c>
      <c r="Q36" s="3">
        <f t="shared" si="10"/>
        <v>13.045237282830303</v>
      </c>
      <c r="R36" s="3">
        <f t="shared" si="10"/>
        <v>10.744445715822836</v>
      </c>
      <c r="S36" s="3">
        <f t="shared" si="10"/>
        <v>8.1338132831199914</v>
      </c>
      <c r="T36" s="3">
        <f t="shared" si="10"/>
        <v>5.6658812620988366</v>
      </c>
      <c r="U36" s="3">
        <f t="shared" si="10"/>
        <v>3.6890108274266002</v>
      </c>
      <c r="V36" s="3">
        <f t="shared" si="10"/>
        <v>2.2950844157834926</v>
      </c>
      <c r="W36" s="3">
        <f t="shared" si="10"/>
        <v>1.3921195267370372</v>
      </c>
      <c r="X36" s="3">
        <f t="shared" si="10"/>
        <v>0.8354138655589044</v>
      </c>
      <c r="Y36" s="3">
        <f t="shared" si="10"/>
        <v>0.50063177139773796</v>
      </c>
      <c r="Z36" s="3">
        <f t="shared" si="10"/>
        <v>0.30122550862852637</v>
      </c>
      <c r="AA36" s="3">
        <f t="shared" si="10"/>
        <v>0.18252393430298602</v>
      </c>
      <c r="AB36" s="13">
        <f t="shared" si="10"/>
        <v>0.11154931329950918</v>
      </c>
    </row>
    <row r="37" spans="2:28" x14ac:dyDescent="0.25">
      <c r="B37" s="28">
        <v>0.6</v>
      </c>
      <c r="C37" s="25">
        <f t="shared" si="0"/>
        <v>0.802791329456779</v>
      </c>
      <c r="D37" s="3">
        <f t="shared" ref="D37:AB37" si="11">$B37/D87</f>
        <v>17.570215520452376</v>
      </c>
      <c r="E37" s="3">
        <f t="shared" si="11"/>
        <v>17.570215520452376</v>
      </c>
      <c r="F37" s="3">
        <f t="shared" si="11"/>
        <v>17.538867858984908</v>
      </c>
      <c r="G37" s="3">
        <f t="shared" si="11"/>
        <v>17.404843355383917</v>
      </c>
      <c r="H37" s="3">
        <f t="shared" si="11"/>
        <v>17.276770553853538</v>
      </c>
      <c r="I37" s="3">
        <f t="shared" si="11"/>
        <v>17.235144194596387</v>
      </c>
      <c r="J37" s="3">
        <f t="shared" si="11"/>
        <v>17.175834029913048</v>
      </c>
      <c r="K37" s="3">
        <f t="shared" si="11"/>
        <v>17.081640691590735</v>
      </c>
      <c r="L37" s="3">
        <f t="shared" si="11"/>
        <v>16.91947142546038</v>
      </c>
      <c r="M37" s="3">
        <f t="shared" si="11"/>
        <v>16.628934332037826</v>
      </c>
      <c r="N37" s="3">
        <f t="shared" si="11"/>
        <v>16.108412060964838</v>
      </c>
      <c r="O37" s="3">
        <f t="shared" si="11"/>
        <v>15.20937408169382</v>
      </c>
      <c r="P37" s="3">
        <f t="shared" si="11"/>
        <v>13.768158958738697</v>
      </c>
      <c r="Q37" s="3">
        <f t="shared" si="11"/>
        <v>11.711462874578482</v>
      </c>
      <c r="R37" s="3">
        <f t="shared" si="11"/>
        <v>9.2003086155661933</v>
      </c>
      <c r="S37" s="3">
        <f t="shared" si="11"/>
        <v>6.6382225818836611</v>
      </c>
      <c r="T37" s="3">
        <f t="shared" si="11"/>
        <v>4.4437979061633754</v>
      </c>
      <c r="U37" s="3">
        <f t="shared" si="11"/>
        <v>2.8166610420508427</v>
      </c>
      <c r="V37" s="3">
        <f t="shared" si="11"/>
        <v>1.7270632195956022</v>
      </c>
      <c r="W37" s="3">
        <f t="shared" si="11"/>
        <v>1.0419289709860391</v>
      </c>
      <c r="X37" s="3">
        <f t="shared" si="11"/>
        <v>0.62553820340791888</v>
      </c>
      <c r="Y37" s="3">
        <f t="shared" si="11"/>
        <v>0.37630430365224349</v>
      </c>
      <c r="Z37" s="3">
        <f t="shared" si="11"/>
        <v>0.22770907454092285</v>
      </c>
      <c r="AA37" s="3">
        <f t="shared" si="11"/>
        <v>0.13889039062105871</v>
      </c>
      <c r="AB37" s="13">
        <f t="shared" si="11"/>
        <v>8.5476941690453237E-2</v>
      </c>
    </row>
    <row r="38" spans="2:28" x14ac:dyDescent="0.25">
      <c r="B38" s="28">
        <v>0.65</v>
      </c>
      <c r="C38" s="25">
        <f t="shared" si="0"/>
        <v>0.7955088120846564</v>
      </c>
      <c r="D38" s="3">
        <f t="shared" ref="D38:AB38" si="12">$B38/D88</f>
        <v>17.345764079705074</v>
      </c>
      <c r="E38" s="3">
        <f t="shared" si="12"/>
        <v>17.345626856248696</v>
      </c>
      <c r="F38" s="3">
        <f t="shared" si="12"/>
        <v>17.312430396808711</v>
      </c>
      <c r="G38" s="3">
        <f t="shared" si="12"/>
        <v>17.183344095070812</v>
      </c>
      <c r="H38" s="3">
        <f t="shared" si="12"/>
        <v>17.055171659054068</v>
      </c>
      <c r="I38" s="3">
        <f t="shared" si="12"/>
        <v>17.007082613102313</v>
      </c>
      <c r="J38" s="3">
        <f t="shared" si="12"/>
        <v>16.932750019187633</v>
      </c>
      <c r="K38" s="3">
        <f t="shared" si="12"/>
        <v>16.806927166394008</v>
      </c>
      <c r="L38" s="3">
        <f t="shared" si="12"/>
        <v>16.582572853177108</v>
      </c>
      <c r="M38" s="3">
        <f t="shared" si="12"/>
        <v>16.177716313713329</v>
      </c>
      <c r="N38" s="3">
        <f t="shared" si="12"/>
        <v>15.464479547774596</v>
      </c>
      <c r="O38" s="3">
        <f t="shared" si="12"/>
        <v>14.280648194484652</v>
      </c>
      <c r="P38" s="3">
        <f t="shared" si="12"/>
        <v>12.500816446710704</v>
      </c>
      <c r="Q38" s="3">
        <f t="shared" si="12"/>
        <v>10.174588194842737</v>
      </c>
      <c r="R38" s="3">
        <f t="shared" si="12"/>
        <v>7.6138114944841195</v>
      </c>
      <c r="S38" s="3">
        <f t="shared" si="12"/>
        <v>5.2577478407052025</v>
      </c>
      <c r="T38" s="3">
        <f t="shared" si="12"/>
        <v>3.4077255708180432</v>
      </c>
      <c r="U38" s="3">
        <f t="shared" si="12"/>
        <v>2.118486447888515</v>
      </c>
      <c r="V38" s="3">
        <f t="shared" si="12"/>
        <v>1.2874985758487025</v>
      </c>
      <c r="W38" s="3">
        <f t="shared" si="12"/>
        <v>0.77538244097713382</v>
      </c>
      <c r="X38" s="3">
        <f t="shared" si="12"/>
        <v>0.46670479476433752</v>
      </c>
      <c r="Y38" s="3">
        <f t="shared" si="12"/>
        <v>0.28215331880588662</v>
      </c>
      <c r="Z38" s="3">
        <f t="shared" si="12"/>
        <v>0.17180148075359025</v>
      </c>
      <c r="AA38" s="3">
        <f t="shared" si="12"/>
        <v>0.10550423491489881</v>
      </c>
      <c r="AB38" s="13">
        <f t="shared" si="12"/>
        <v>6.5385818419641584E-2</v>
      </c>
    </row>
    <row r="39" spans="2:28" x14ac:dyDescent="0.25">
      <c r="B39" s="28">
        <v>0.7</v>
      </c>
      <c r="C39" s="25">
        <f t="shared" si="0"/>
        <v>0.7882262947125338</v>
      </c>
      <c r="D39" s="3">
        <f t="shared" ref="D39:AB39" si="13">$B39/D89</f>
        <v>17.046766171788835</v>
      </c>
      <c r="E39" s="3">
        <f t="shared" si="13"/>
        <v>17.046378159798241</v>
      </c>
      <c r="F39" s="3">
        <f t="shared" si="13"/>
        <v>17.011800097582888</v>
      </c>
      <c r="G39" s="3">
        <f t="shared" si="13"/>
        <v>16.888137172440178</v>
      </c>
      <c r="H39" s="3">
        <f t="shared" si="13"/>
        <v>16.755965699677596</v>
      </c>
      <c r="I39" s="3">
        <f t="shared" si="13"/>
        <v>16.697140626902158</v>
      </c>
      <c r="J39" s="3">
        <f t="shared" si="13"/>
        <v>16.599574323016483</v>
      </c>
      <c r="K39" s="3">
        <f t="shared" si="13"/>
        <v>16.427077438791315</v>
      </c>
      <c r="L39" s="3">
        <f t="shared" si="13"/>
        <v>16.114810614890551</v>
      </c>
      <c r="M39" s="3">
        <f t="shared" si="13"/>
        <v>15.556471436068302</v>
      </c>
      <c r="N39" s="3">
        <f t="shared" si="13"/>
        <v>14.603130840415679</v>
      </c>
      <c r="O39" s="3">
        <f t="shared" si="13"/>
        <v>13.104483036708531</v>
      </c>
      <c r="P39" s="3">
        <f t="shared" si="13"/>
        <v>11.021466457778303</v>
      </c>
      <c r="Q39" s="3">
        <f t="shared" si="13"/>
        <v>8.5539204697604969</v>
      </c>
      <c r="R39" s="3">
        <f t="shared" si="13"/>
        <v>6.1088782598908038</v>
      </c>
      <c r="S39" s="3">
        <f t="shared" si="13"/>
        <v>4.0631939525884047</v>
      </c>
      <c r="T39" s="3">
        <f t="shared" si="13"/>
        <v>2.5693795832372577</v>
      </c>
      <c r="U39" s="3">
        <f t="shared" si="13"/>
        <v>1.5767838255848683</v>
      </c>
      <c r="V39" s="3">
        <f t="shared" si="13"/>
        <v>0.95403372718359425</v>
      </c>
      <c r="W39" s="3">
        <f t="shared" si="13"/>
        <v>0.5750909087856575</v>
      </c>
      <c r="X39" s="3">
        <f t="shared" si="13"/>
        <v>0.34755001579717304</v>
      </c>
      <c r="Y39" s="3">
        <f t="shared" si="13"/>
        <v>0.21132089177873351</v>
      </c>
      <c r="Z39" s="3">
        <f t="shared" si="13"/>
        <v>0.12951637163111152</v>
      </c>
      <c r="AA39" s="3">
        <f t="shared" si="13"/>
        <v>8.0085781085962787E-2</v>
      </c>
      <c r="AB39" s="13">
        <f t="shared" si="13"/>
        <v>4.9978869801649825E-2</v>
      </c>
    </row>
    <row r="40" spans="2:28" x14ac:dyDescent="0.25">
      <c r="B40" s="28">
        <v>0.75</v>
      </c>
      <c r="C40" s="25">
        <f t="shared" si="0"/>
        <v>0.78094377734041132</v>
      </c>
      <c r="D40" s="3">
        <f t="shared" ref="D40:AB40" si="14">$B40/D90</f>
        <v>16.696407761433576</v>
      </c>
      <c r="E40" s="3">
        <f t="shared" si="14"/>
        <v>16.69564694153345</v>
      </c>
      <c r="F40" s="3">
        <f t="shared" si="14"/>
        <v>16.660126792903444</v>
      </c>
      <c r="G40" s="3">
        <f t="shared" si="14"/>
        <v>16.542034552654435</v>
      </c>
      <c r="H40" s="3">
        <f t="shared" si="14"/>
        <v>16.399692041598975</v>
      </c>
      <c r="I40" s="3">
        <f t="shared" si="14"/>
        <v>16.323881478841027</v>
      </c>
      <c r="J40" s="3">
        <f t="shared" si="14"/>
        <v>16.191464554395406</v>
      </c>
      <c r="K40" s="3">
        <f t="shared" si="14"/>
        <v>15.951889411486555</v>
      </c>
      <c r="L40" s="3">
        <f t="shared" si="14"/>
        <v>15.519019408689825</v>
      </c>
      <c r="M40" s="3">
        <f t="shared" si="14"/>
        <v>14.763026256459522</v>
      </c>
      <c r="N40" s="3">
        <f t="shared" si="14"/>
        <v>13.529302530041589</v>
      </c>
      <c r="O40" s="3">
        <f t="shared" si="14"/>
        <v>11.718881146218811</v>
      </c>
      <c r="P40" s="3">
        <f t="shared" si="14"/>
        <v>9.4215857216507217</v>
      </c>
      <c r="Q40" s="3">
        <f t="shared" si="14"/>
        <v>6.9692125675629546</v>
      </c>
      <c r="R40" s="3">
        <f t="shared" si="14"/>
        <v>4.7724237116430661</v>
      </c>
      <c r="S40" s="3">
        <f t="shared" si="14"/>
        <v>3.0802115691872038</v>
      </c>
      <c r="T40" s="3">
        <f t="shared" si="14"/>
        <v>1.9138955513139031</v>
      </c>
      <c r="U40" s="3">
        <f t="shared" si="14"/>
        <v>1.1655377839867933</v>
      </c>
      <c r="V40" s="3">
        <f t="shared" si="14"/>
        <v>0.70443350622655765</v>
      </c>
      <c r="W40" s="3">
        <f t="shared" si="14"/>
        <v>0.42584507363470253</v>
      </c>
      <c r="X40" s="3">
        <f t="shared" si="14"/>
        <v>0.25865928536492011</v>
      </c>
      <c r="Y40" s="3">
        <f t="shared" si="14"/>
        <v>0.15824973652561392</v>
      </c>
      <c r="Z40" s="3">
        <f t="shared" si="14"/>
        <v>9.7642901497052015E-2</v>
      </c>
      <c r="AA40" s="3">
        <f t="shared" si="14"/>
        <v>6.0794031252225017E-2</v>
      </c>
      <c r="AB40" s="13">
        <f t="shared" si="14"/>
        <v>3.8200743751579468E-2</v>
      </c>
    </row>
    <row r="41" spans="2:28" ht="15.75" thickBot="1" x14ac:dyDescent="0.3">
      <c r="B41" s="29">
        <v>0.8</v>
      </c>
      <c r="C41" s="25">
        <f t="shared" si="0"/>
        <v>0.77366125996828872</v>
      </c>
      <c r="D41" s="14">
        <f t="shared" ref="D41:AB41" si="15">$B41/D91</f>
        <v>16.312504708933869</v>
      </c>
      <c r="E41" s="14">
        <f t="shared" si="15"/>
        <v>16.311269250237505</v>
      </c>
      <c r="F41" s="14">
        <f t="shared" si="15"/>
        <v>16.275187528573031</v>
      </c>
      <c r="G41" s="14">
        <f t="shared" si="15"/>
        <v>16.162526807276038</v>
      </c>
      <c r="H41" s="14">
        <f t="shared" si="15"/>
        <v>16.000716336398618</v>
      </c>
      <c r="I41" s="14">
        <f t="shared" si="15"/>
        <v>15.898992563658638</v>
      </c>
      <c r="J41" s="14">
        <f t="shared" si="15"/>
        <v>15.715704091968188</v>
      </c>
      <c r="K41" s="14">
        <f t="shared" si="15"/>
        <v>15.382349843062887</v>
      </c>
      <c r="L41" s="14">
        <f t="shared" si="15"/>
        <v>14.789813549636202</v>
      </c>
      <c r="M41" s="14">
        <f t="shared" si="15"/>
        <v>13.792496957530643</v>
      </c>
      <c r="N41" s="14">
        <f t="shared" si="15"/>
        <v>12.258727673499799</v>
      </c>
      <c r="O41" s="14">
        <f t="shared" si="15"/>
        <v>10.186351734484537</v>
      </c>
      <c r="P41" s="14">
        <f t="shared" si="15"/>
        <v>7.8074323109261297</v>
      </c>
      <c r="Q41" s="14">
        <f t="shared" si="15"/>
        <v>5.5189260346968343</v>
      </c>
      <c r="R41" s="14">
        <f t="shared" si="15"/>
        <v>3.647979084439664</v>
      </c>
      <c r="S41" s="14">
        <f t="shared" si="15"/>
        <v>2.3018320608483784</v>
      </c>
      <c r="T41" s="14">
        <f t="shared" si="15"/>
        <v>1.4139168655818353</v>
      </c>
      <c r="U41" s="14">
        <f t="shared" si="15"/>
        <v>0.85797324875374281</v>
      </c>
      <c r="V41" s="14">
        <f t="shared" si="15"/>
        <v>0.51924945505628517</v>
      </c>
      <c r="W41" s="14">
        <f t="shared" si="15"/>
        <v>0.31521959272597194</v>
      </c>
      <c r="X41" s="14">
        <f t="shared" si="15"/>
        <v>0.19256575921158947</v>
      </c>
      <c r="Y41" s="14">
        <f t="shared" si="15"/>
        <v>0.11857910552474214</v>
      </c>
      <c r="Z41" s="14">
        <f t="shared" si="15"/>
        <v>7.3663245583756781E-2</v>
      </c>
      <c r="AA41" s="14">
        <f t="shared" si="15"/>
        <v>4.617836024852516E-2</v>
      </c>
      <c r="AB41" s="15">
        <f t="shared" si="15"/>
        <v>2.9213251308207046E-2</v>
      </c>
    </row>
    <row r="42" spans="2:28" ht="15.75" thickBot="1" x14ac:dyDescent="0.3"/>
    <row r="43" spans="2:28" ht="15.75" thickBot="1" x14ac:dyDescent="0.3">
      <c r="B43" s="26">
        <v>0</v>
      </c>
      <c r="C43" s="27">
        <f t="shared" ref="C43:C57" si="16">C27</f>
        <v>0.89018153792224997</v>
      </c>
      <c r="D43" s="23">
        <f t="shared" ref="D43:AB52" si="17">D$26-$C43</f>
        <v>-0.89018153792224997</v>
      </c>
      <c r="E43" s="23">
        <f t="shared" si="17"/>
        <v>-0.39018153792224997</v>
      </c>
      <c r="F43" s="23">
        <f t="shared" si="17"/>
        <v>-0.29018153792224999</v>
      </c>
      <c r="G43" s="23">
        <f t="shared" si="17"/>
        <v>-0.19018153792225001</v>
      </c>
      <c r="H43" s="23">
        <f t="shared" si="17"/>
        <v>-0.14018153792224997</v>
      </c>
      <c r="I43" s="23">
        <f t="shared" si="17"/>
        <v>-0.13018153792224996</v>
      </c>
      <c r="J43" s="23">
        <f t="shared" si="17"/>
        <v>-0.12018153792224995</v>
      </c>
      <c r="K43" s="23">
        <f t="shared" si="17"/>
        <v>-0.11018153792224994</v>
      </c>
      <c r="L43" s="23">
        <f t="shared" si="17"/>
        <v>-0.10018153792224993</v>
      </c>
      <c r="M43" s="23">
        <f t="shared" si="17"/>
        <v>-9.0181537922249921E-2</v>
      </c>
      <c r="N43" s="23">
        <f t="shared" si="17"/>
        <v>-8.0181537922249912E-2</v>
      </c>
      <c r="O43" s="23">
        <f t="shared" si="17"/>
        <v>-7.0181537922250015E-2</v>
      </c>
      <c r="P43" s="23">
        <f t="shared" si="17"/>
        <v>-6.0181537922250006E-2</v>
      </c>
      <c r="Q43" s="23">
        <f t="shared" si="17"/>
        <v>-5.0181537922249997E-2</v>
      </c>
      <c r="R43" s="23">
        <f t="shared" si="17"/>
        <v>-4.0181537922249988E-2</v>
      </c>
      <c r="S43" s="23">
        <f t="shared" si="17"/>
        <v>-3.0181537922249979E-2</v>
      </c>
      <c r="T43" s="23">
        <f t="shared" si="17"/>
        <v>-2.018153792224997E-2</v>
      </c>
      <c r="U43" s="23">
        <f t="shared" si="17"/>
        <v>-1.0181537922249961E-2</v>
      </c>
      <c r="V43" s="23">
        <f t="shared" si="17"/>
        <v>-1.8153792224995247E-4</v>
      </c>
      <c r="W43" s="23">
        <f t="shared" si="17"/>
        <v>9.8184620777500564E-3</v>
      </c>
      <c r="X43" s="23">
        <f t="shared" si="17"/>
        <v>1.9818462077750065E-2</v>
      </c>
      <c r="Y43" s="23">
        <f t="shared" si="17"/>
        <v>2.9818462077750074E-2</v>
      </c>
      <c r="Z43" s="23">
        <f t="shared" si="17"/>
        <v>3.9818462077750083E-2</v>
      </c>
      <c r="AA43" s="23">
        <f t="shared" si="17"/>
        <v>4.9818462077749981E-2</v>
      </c>
      <c r="AB43" s="23">
        <f t="shared" si="17"/>
        <v>5.981846207774999E-2</v>
      </c>
    </row>
    <row r="44" spans="2:28" ht="15.75" thickBot="1" x14ac:dyDescent="0.3">
      <c r="B44" s="28">
        <v>0.1</v>
      </c>
      <c r="C44" s="25">
        <f t="shared" si="16"/>
        <v>0.87561650317800477</v>
      </c>
      <c r="D44" s="23">
        <f t="shared" si="17"/>
        <v>-0.87561650317800477</v>
      </c>
      <c r="E44" s="23">
        <f t="shared" si="17"/>
        <v>-0.37561650317800477</v>
      </c>
      <c r="F44" s="23">
        <f t="shared" si="17"/>
        <v>-0.27561650317800479</v>
      </c>
      <c r="G44" s="23">
        <f t="shared" si="17"/>
        <v>-0.17561650317800481</v>
      </c>
      <c r="H44" s="23">
        <f t="shared" si="17"/>
        <v>-0.12561650317800477</v>
      </c>
      <c r="I44" s="23">
        <f t="shared" si="17"/>
        <v>-0.11561650317800476</v>
      </c>
      <c r="J44" s="23">
        <f t="shared" si="17"/>
        <v>-0.10561650317800475</v>
      </c>
      <c r="K44" s="23">
        <f t="shared" si="17"/>
        <v>-9.5616503178004741E-2</v>
      </c>
      <c r="L44" s="23">
        <f t="shared" si="17"/>
        <v>-8.5616503178004733E-2</v>
      </c>
      <c r="M44" s="23">
        <f t="shared" si="17"/>
        <v>-7.5616503178004724E-2</v>
      </c>
      <c r="N44" s="23">
        <f t="shared" si="17"/>
        <v>-6.5616503178004715E-2</v>
      </c>
      <c r="O44" s="23">
        <f t="shared" si="17"/>
        <v>-5.5616503178004817E-2</v>
      </c>
      <c r="P44" s="23">
        <f t="shared" si="17"/>
        <v>-4.5616503178004808E-2</v>
      </c>
      <c r="Q44" s="23">
        <f t="shared" si="17"/>
        <v>-3.5616503178004799E-2</v>
      </c>
      <c r="R44" s="23">
        <f t="shared" si="17"/>
        <v>-2.561650317800479E-2</v>
      </c>
      <c r="S44" s="23">
        <f t="shared" si="17"/>
        <v>-1.5616503178004781E-2</v>
      </c>
      <c r="T44" s="23">
        <f t="shared" si="17"/>
        <v>-5.6165031780047725E-3</v>
      </c>
      <c r="U44" s="23">
        <f t="shared" si="17"/>
        <v>4.3834968219952364E-3</v>
      </c>
      <c r="V44" s="23">
        <f t="shared" si="17"/>
        <v>1.4383496821995245E-2</v>
      </c>
      <c r="W44" s="23">
        <f t="shared" si="17"/>
        <v>2.4383496821995254E-2</v>
      </c>
      <c r="X44" s="23">
        <f t="shared" si="17"/>
        <v>3.4383496821995263E-2</v>
      </c>
      <c r="Y44" s="23">
        <f t="shared" si="17"/>
        <v>4.4383496821995272E-2</v>
      </c>
      <c r="Z44" s="23">
        <f t="shared" si="17"/>
        <v>5.4383496821995281E-2</v>
      </c>
      <c r="AA44" s="23">
        <f t="shared" si="17"/>
        <v>6.4383496821995179E-2</v>
      </c>
      <c r="AB44" s="23">
        <f t="shared" si="17"/>
        <v>7.4383496821995188E-2</v>
      </c>
    </row>
    <row r="45" spans="2:28" ht="15.75" thickBot="1" x14ac:dyDescent="0.3">
      <c r="B45" s="28">
        <v>0.2</v>
      </c>
      <c r="C45" s="25">
        <f t="shared" si="16"/>
        <v>0.86105146843375968</v>
      </c>
      <c r="D45" s="23">
        <f t="shared" si="17"/>
        <v>-0.86105146843375968</v>
      </c>
      <c r="E45" s="23">
        <f t="shared" si="17"/>
        <v>-0.36105146843375968</v>
      </c>
      <c r="F45" s="23">
        <f t="shared" si="17"/>
        <v>-0.2610514684337597</v>
      </c>
      <c r="G45" s="23">
        <f t="shared" si="17"/>
        <v>-0.16105146843375973</v>
      </c>
      <c r="H45" s="23">
        <f t="shared" si="17"/>
        <v>-0.11105146843375968</v>
      </c>
      <c r="I45" s="23">
        <f t="shared" si="17"/>
        <v>-0.10105146843375967</v>
      </c>
      <c r="J45" s="23">
        <f t="shared" si="17"/>
        <v>-9.1051468433759664E-2</v>
      </c>
      <c r="K45" s="23">
        <f t="shared" si="17"/>
        <v>-8.1051468433759655E-2</v>
      </c>
      <c r="L45" s="23">
        <f t="shared" si="17"/>
        <v>-7.1051468433759646E-2</v>
      </c>
      <c r="M45" s="23">
        <f t="shared" si="17"/>
        <v>-6.1051468433759637E-2</v>
      </c>
      <c r="N45" s="23">
        <f t="shared" si="17"/>
        <v>-5.1051468433759628E-2</v>
      </c>
      <c r="O45" s="23">
        <f t="shared" si="17"/>
        <v>-4.105146843375973E-2</v>
      </c>
      <c r="P45" s="23">
        <f t="shared" si="17"/>
        <v>-3.1051468433759721E-2</v>
      </c>
      <c r="Q45" s="23">
        <f t="shared" si="17"/>
        <v>-2.1051468433759712E-2</v>
      </c>
      <c r="R45" s="23">
        <f t="shared" si="17"/>
        <v>-1.1051468433759704E-2</v>
      </c>
      <c r="S45" s="23">
        <f t="shared" si="17"/>
        <v>-1.0514684337596947E-3</v>
      </c>
      <c r="T45" s="23">
        <f t="shared" si="17"/>
        <v>8.9485315662403142E-3</v>
      </c>
      <c r="U45" s="23">
        <f t="shared" si="17"/>
        <v>1.8948531566240323E-2</v>
      </c>
      <c r="V45" s="23">
        <f t="shared" si="17"/>
        <v>2.8948531566240332E-2</v>
      </c>
      <c r="W45" s="23">
        <f t="shared" si="17"/>
        <v>3.8948531566240341E-2</v>
      </c>
      <c r="X45" s="23">
        <f t="shared" si="17"/>
        <v>4.894853156624035E-2</v>
      </c>
      <c r="Y45" s="23">
        <f t="shared" si="17"/>
        <v>5.8948531566240359E-2</v>
      </c>
      <c r="Z45" s="23">
        <f t="shared" si="17"/>
        <v>6.8948531566240367E-2</v>
      </c>
      <c r="AA45" s="23">
        <f t="shared" si="17"/>
        <v>7.8948531566240265E-2</v>
      </c>
      <c r="AB45" s="23">
        <f t="shared" si="17"/>
        <v>8.8948531566240274E-2</v>
      </c>
    </row>
    <row r="46" spans="2:28" ht="15.75" thickBot="1" x14ac:dyDescent="0.3">
      <c r="B46" s="28">
        <v>0.25</v>
      </c>
      <c r="C46" s="25">
        <f t="shared" si="16"/>
        <v>0.85376895106163708</v>
      </c>
      <c r="D46" s="23">
        <f t="shared" si="17"/>
        <v>-0.85376895106163708</v>
      </c>
      <c r="E46" s="23">
        <f t="shared" si="17"/>
        <v>-0.35376895106163708</v>
      </c>
      <c r="F46" s="23">
        <f t="shared" si="17"/>
        <v>-0.2537689510616371</v>
      </c>
      <c r="G46" s="23">
        <f t="shared" si="17"/>
        <v>-0.15376895106163713</v>
      </c>
      <c r="H46" s="23">
        <f t="shared" si="17"/>
        <v>-0.10376895106163708</v>
      </c>
      <c r="I46" s="23">
        <f t="shared" si="17"/>
        <v>-9.3768951061637074E-2</v>
      </c>
      <c r="J46" s="23">
        <f t="shared" si="17"/>
        <v>-8.3768951061637065E-2</v>
      </c>
      <c r="K46" s="23">
        <f t="shared" si="17"/>
        <v>-7.3768951061637056E-2</v>
      </c>
      <c r="L46" s="23">
        <f t="shared" si="17"/>
        <v>-6.3768951061637047E-2</v>
      </c>
      <c r="M46" s="23">
        <f t="shared" si="17"/>
        <v>-5.3768951061637038E-2</v>
      </c>
      <c r="N46" s="23">
        <f t="shared" si="17"/>
        <v>-4.3768951061637029E-2</v>
      </c>
      <c r="O46" s="23">
        <f t="shared" si="17"/>
        <v>-3.3768951061637131E-2</v>
      </c>
      <c r="P46" s="23">
        <f t="shared" si="17"/>
        <v>-2.3768951061637122E-2</v>
      </c>
      <c r="Q46" s="23">
        <f t="shared" si="17"/>
        <v>-1.3768951061637114E-2</v>
      </c>
      <c r="R46" s="23">
        <f t="shared" si="17"/>
        <v>-3.7689510616371047E-3</v>
      </c>
      <c r="S46" s="23">
        <f t="shared" si="17"/>
        <v>6.2310489383629042E-3</v>
      </c>
      <c r="T46" s="23">
        <f t="shared" si="17"/>
        <v>1.6231048938362913E-2</v>
      </c>
      <c r="U46" s="23">
        <f t="shared" si="17"/>
        <v>2.6231048938362922E-2</v>
      </c>
      <c r="V46" s="23">
        <f t="shared" si="17"/>
        <v>3.6231048938362931E-2</v>
      </c>
      <c r="W46" s="23">
        <f t="shared" si="17"/>
        <v>4.623104893836294E-2</v>
      </c>
      <c r="X46" s="23">
        <f t="shared" si="17"/>
        <v>5.6231048938362949E-2</v>
      </c>
      <c r="Y46" s="23">
        <f t="shared" si="17"/>
        <v>6.6231048938362957E-2</v>
      </c>
      <c r="Z46" s="23">
        <f t="shared" si="17"/>
        <v>7.6231048938362966E-2</v>
      </c>
      <c r="AA46" s="23">
        <f t="shared" si="17"/>
        <v>8.6231048938362864E-2</v>
      </c>
      <c r="AB46" s="23">
        <f t="shared" si="17"/>
        <v>9.6231048938362873E-2</v>
      </c>
    </row>
    <row r="47" spans="2:28" ht="15.75" thickBot="1" x14ac:dyDescent="0.3">
      <c r="B47" s="28">
        <v>0.3</v>
      </c>
      <c r="C47" s="25">
        <f t="shared" si="16"/>
        <v>0.84648643368951448</v>
      </c>
      <c r="D47" s="23">
        <f t="shared" si="17"/>
        <v>-0.84648643368951448</v>
      </c>
      <c r="E47" s="23">
        <f t="shared" si="17"/>
        <v>-0.34648643368951448</v>
      </c>
      <c r="F47" s="23">
        <f t="shared" si="17"/>
        <v>-0.24648643368951451</v>
      </c>
      <c r="G47" s="23">
        <f t="shared" si="17"/>
        <v>-0.14648643368951453</v>
      </c>
      <c r="H47" s="23">
        <f t="shared" si="17"/>
        <v>-9.6486433689514484E-2</v>
      </c>
      <c r="I47" s="23">
        <f t="shared" si="17"/>
        <v>-8.6486433689514475E-2</v>
      </c>
      <c r="J47" s="23">
        <f t="shared" si="17"/>
        <v>-7.6486433689514466E-2</v>
      </c>
      <c r="K47" s="23">
        <f t="shared" si="17"/>
        <v>-6.6486433689514457E-2</v>
      </c>
      <c r="L47" s="23">
        <f t="shared" si="17"/>
        <v>-5.6486433689514448E-2</v>
      </c>
      <c r="M47" s="23">
        <f t="shared" si="17"/>
        <v>-4.6486433689514439E-2</v>
      </c>
      <c r="N47" s="23">
        <f t="shared" si="17"/>
        <v>-3.648643368951443E-2</v>
      </c>
      <c r="O47" s="23">
        <f t="shared" si="17"/>
        <v>-2.6486433689514532E-2</v>
      </c>
      <c r="P47" s="23">
        <f t="shared" si="17"/>
        <v>-1.6486433689514524E-2</v>
      </c>
      <c r="Q47" s="23">
        <f t="shared" si="17"/>
        <v>-6.4864336895145147E-3</v>
      </c>
      <c r="R47" s="23">
        <f t="shared" si="17"/>
        <v>3.5135663104854942E-3</v>
      </c>
      <c r="S47" s="23">
        <f t="shared" si="17"/>
        <v>1.3513566310485503E-2</v>
      </c>
      <c r="T47" s="23">
        <f t="shared" si="17"/>
        <v>2.3513566310485512E-2</v>
      </c>
      <c r="U47" s="23">
        <f t="shared" si="17"/>
        <v>3.3513566310485521E-2</v>
      </c>
      <c r="V47" s="23">
        <f t="shared" si="17"/>
        <v>4.351356631048553E-2</v>
      </c>
      <c r="W47" s="23">
        <f t="shared" si="17"/>
        <v>5.3513566310485539E-2</v>
      </c>
      <c r="X47" s="23">
        <f t="shared" si="17"/>
        <v>6.3513566310485547E-2</v>
      </c>
      <c r="Y47" s="23">
        <f t="shared" si="17"/>
        <v>7.3513566310485556E-2</v>
      </c>
      <c r="Z47" s="23">
        <f t="shared" si="17"/>
        <v>8.3513566310485565E-2</v>
      </c>
      <c r="AA47" s="23">
        <f t="shared" si="17"/>
        <v>9.3513566310485463E-2</v>
      </c>
      <c r="AB47" s="23">
        <f t="shared" si="17"/>
        <v>0.10351356631048547</v>
      </c>
    </row>
    <row r="48" spans="2:28" ht="15.75" thickBot="1" x14ac:dyDescent="0.3">
      <c r="B48" s="28">
        <v>0.35</v>
      </c>
      <c r="C48" s="25">
        <f t="shared" si="16"/>
        <v>0.83920391631739188</v>
      </c>
      <c r="D48" s="23">
        <f t="shared" si="17"/>
        <v>-0.83920391631739188</v>
      </c>
      <c r="E48" s="23">
        <f t="shared" si="17"/>
        <v>-0.33920391631739188</v>
      </c>
      <c r="F48" s="23">
        <f t="shared" si="17"/>
        <v>-0.23920391631739191</v>
      </c>
      <c r="G48" s="23">
        <f t="shared" si="17"/>
        <v>-0.13920391631739193</v>
      </c>
      <c r="H48" s="23">
        <f t="shared" si="17"/>
        <v>-8.9203916317391885E-2</v>
      </c>
      <c r="I48" s="23">
        <f t="shared" si="17"/>
        <v>-7.9203916317391876E-2</v>
      </c>
      <c r="J48" s="23">
        <f t="shared" si="17"/>
        <v>-6.9203916317391867E-2</v>
      </c>
      <c r="K48" s="23">
        <f t="shared" si="17"/>
        <v>-5.9203916317391858E-2</v>
      </c>
      <c r="L48" s="23">
        <f t="shared" si="17"/>
        <v>-4.9203916317391849E-2</v>
      </c>
      <c r="M48" s="23">
        <f t="shared" si="17"/>
        <v>-3.920391631739184E-2</v>
      </c>
      <c r="N48" s="23">
        <f t="shared" si="17"/>
        <v>-2.9203916317391831E-2</v>
      </c>
      <c r="O48" s="23">
        <f t="shared" si="17"/>
        <v>-1.9203916317391934E-2</v>
      </c>
      <c r="P48" s="23">
        <f t="shared" si="17"/>
        <v>-9.2039163173919247E-3</v>
      </c>
      <c r="Q48" s="23">
        <f t="shared" si="17"/>
        <v>7.9608368260808415E-4</v>
      </c>
      <c r="R48" s="23">
        <f t="shared" si="17"/>
        <v>1.0796083682608093E-2</v>
      </c>
      <c r="S48" s="23">
        <f t="shared" si="17"/>
        <v>2.0796083682608102E-2</v>
      </c>
      <c r="T48" s="23">
        <f t="shared" si="17"/>
        <v>3.0796083682608111E-2</v>
      </c>
      <c r="U48" s="23">
        <f t="shared" si="17"/>
        <v>4.079608368260812E-2</v>
      </c>
      <c r="V48" s="23">
        <f t="shared" si="17"/>
        <v>5.0796083682608129E-2</v>
      </c>
      <c r="W48" s="23">
        <f t="shared" si="17"/>
        <v>6.0796083682608137E-2</v>
      </c>
      <c r="X48" s="23">
        <f t="shared" si="17"/>
        <v>7.0796083682608146E-2</v>
      </c>
      <c r="Y48" s="23">
        <f t="shared" si="17"/>
        <v>8.0796083682608155E-2</v>
      </c>
      <c r="Z48" s="23">
        <f t="shared" si="17"/>
        <v>9.0796083682608164E-2</v>
      </c>
      <c r="AA48" s="23">
        <f t="shared" si="17"/>
        <v>0.10079608368260806</v>
      </c>
      <c r="AB48" s="23">
        <f t="shared" si="17"/>
        <v>0.11079608368260807</v>
      </c>
    </row>
    <row r="49" spans="2:28" ht="15.75" thickBot="1" x14ac:dyDescent="0.3">
      <c r="B49" s="28">
        <v>0.4</v>
      </c>
      <c r="C49" s="25">
        <f t="shared" si="16"/>
        <v>0.83192139894526929</v>
      </c>
      <c r="D49" s="23">
        <f t="shared" si="17"/>
        <v>-0.83192139894526929</v>
      </c>
      <c r="E49" s="23">
        <f t="shared" si="17"/>
        <v>-0.33192139894526929</v>
      </c>
      <c r="F49" s="23">
        <f t="shared" si="17"/>
        <v>-0.23192139894526931</v>
      </c>
      <c r="G49" s="23">
        <f t="shared" si="17"/>
        <v>-0.13192139894526933</v>
      </c>
      <c r="H49" s="23">
        <f t="shared" si="17"/>
        <v>-8.1921398945269286E-2</v>
      </c>
      <c r="I49" s="23">
        <f t="shared" si="17"/>
        <v>-7.1921398945269277E-2</v>
      </c>
      <c r="J49" s="23">
        <f t="shared" si="17"/>
        <v>-6.1921398945269268E-2</v>
      </c>
      <c r="K49" s="23">
        <f t="shared" si="17"/>
        <v>-5.1921398945269259E-2</v>
      </c>
      <c r="L49" s="23">
        <f t="shared" si="17"/>
        <v>-4.192139894526925E-2</v>
      </c>
      <c r="M49" s="23">
        <f t="shared" si="17"/>
        <v>-3.1921398945269241E-2</v>
      </c>
      <c r="N49" s="23">
        <f t="shared" si="17"/>
        <v>-2.1921398945269233E-2</v>
      </c>
      <c r="O49" s="23">
        <f t="shared" si="17"/>
        <v>-1.1921398945269335E-2</v>
      </c>
      <c r="P49" s="23">
        <f t="shared" si="17"/>
        <v>-1.9213989452693259E-3</v>
      </c>
      <c r="Q49" s="23">
        <f t="shared" si="17"/>
        <v>8.078601054730683E-3</v>
      </c>
      <c r="R49" s="23">
        <f t="shared" si="17"/>
        <v>1.8078601054730692E-2</v>
      </c>
      <c r="S49" s="23">
        <f t="shared" si="17"/>
        <v>2.8078601054730701E-2</v>
      </c>
      <c r="T49" s="23">
        <f t="shared" si="17"/>
        <v>3.807860105473071E-2</v>
      </c>
      <c r="U49" s="23">
        <f t="shared" si="17"/>
        <v>4.8078601054730719E-2</v>
      </c>
      <c r="V49" s="23">
        <f t="shared" si="17"/>
        <v>5.8078601054730727E-2</v>
      </c>
      <c r="W49" s="23">
        <f t="shared" si="17"/>
        <v>6.8078601054730736E-2</v>
      </c>
      <c r="X49" s="23">
        <f t="shared" si="17"/>
        <v>7.8078601054730745E-2</v>
      </c>
      <c r="Y49" s="23">
        <f t="shared" si="17"/>
        <v>8.8078601054730754E-2</v>
      </c>
      <c r="Z49" s="23">
        <f t="shared" si="17"/>
        <v>9.8078601054730763E-2</v>
      </c>
      <c r="AA49" s="23">
        <f t="shared" si="17"/>
        <v>0.10807860105473066</v>
      </c>
      <c r="AB49" s="23">
        <f t="shared" si="17"/>
        <v>0.11807860105473067</v>
      </c>
    </row>
    <row r="50" spans="2:28" ht="15.75" thickBot="1" x14ac:dyDescent="0.3">
      <c r="B50" s="28">
        <v>0.45</v>
      </c>
      <c r="C50" s="25">
        <f t="shared" si="16"/>
        <v>0.82463888157314669</v>
      </c>
      <c r="D50" s="23">
        <f t="shared" si="17"/>
        <v>-0.82463888157314669</v>
      </c>
      <c r="E50" s="23">
        <f t="shared" si="17"/>
        <v>-0.32463888157314669</v>
      </c>
      <c r="F50" s="23">
        <f t="shared" si="17"/>
        <v>-0.22463888157314671</v>
      </c>
      <c r="G50" s="23">
        <f t="shared" si="17"/>
        <v>-0.12463888157314673</v>
      </c>
      <c r="H50" s="23">
        <f t="shared" si="17"/>
        <v>-7.4638881573146687E-2</v>
      </c>
      <c r="I50" s="23">
        <f t="shared" si="17"/>
        <v>-6.4638881573146678E-2</v>
      </c>
      <c r="J50" s="23">
        <f t="shared" si="17"/>
        <v>-5.4638881573146669E-2</v>
      </c>
      <c r="K50" s="23">
        <f t="shared" si="17"/>
        <v>-4.463888157314666E-2</v>
      </c>
      <c r="L50" s="23">
        <f t="shared" si="17"/>
        <v>-3.4638881573146652E-2</v>
      </c>
      <c r="M50" s="23">
        <f t="shared" si="17"/>
        <v>-2.4638881573146643E-2</v>
      </c>
      <c r="N50" s="23">
        <f t="shared" si="17"/>
        <v>-1.4638881573146634E-2</v>
      </c>
      <c r="O50" s="23">
        <f t="shared" si="17"/>
        <v>-4.6388815731467359E-3</v>
      </c>
      <c r="P50" s="23">
        <f t="shared" si="17"/>
        <v>5.361118426853273E-3</v>
      </c>
      <c r="Q50" s="23">
        <f t="shared" si="17"/>
        <v>1.5361118426853282E-2</v>
      </c>
      <c r="R50" s="23">
        <f t="shared" si="17"/>
        <v>2.5361118426853291E-2</v>
      </c>
      <c r="S50" s="23">
        <f t="shared" si="17"/>
        <v>3.53611184268533E-2</v>
      </c>
      <c r="T50" s="23">
        <f t="shared" si="17"/>
        <v>4.5361118426853309E-2</v>
      </c>
      <c r="U50" s="23">
        <f t="shared" si="17"/>
        <v>5.5361118426853317E-2</v>
      </c>
      <c r="V50" s="23">
        <f t="shared" si="17"/>
        <v>6.5361118426853326E-2</v>
      </c>
      <c r="W50" s="23">
        <f t="shared" si="17"/>
        <v>7.5361118426853335E-2</v>
      </c>
      <c r="X50" s="23">
        <f t="shared" si="17"/>
        <v>8.5361118426853344E-2</v>
      </c>
      <c r="Y50" s="23">
        <f t="shared" si="17"/>
        <v>9.5361118426853353E-2</v>
      </c>
      <c r="Z50" s="23">
        <f t="shared" si="17"/>
        <v>0.10536111842685336</v>
      </c>
      <c r="AA50" s="23">
        <f t="shared" si="17"/>
        <v>0.11536111842685326</v>
      </c>
      <c r="AB50" s="23">
        <f t="shared" si="17"/>
        <v>0.12536111842685327</v>
      </c>
    </row>
    <row r="51" spans="2:28" ht="15.75" thickBot="1" x14ac:dyDescent="0.3">
      <c r="B51" s="28">
        <v>0.5</v>
      </c>
      <c r="C51" s="25">
        <f t="shared" si="16"/>
        <v>0.8173563642010242</v>
      </c>
      <c r="D51" s="23">
        <f t="shared" si="17"/>
        <v>-0.8173563642010242</v>
      </c>
      <c r="E51" s="23">
        <f t="shared" si="17"/>
        <v>-0.3173563642010242</v>
      </c>
      <c r="F51" s="23">
        <f t="shared" si="17"/>
        <v>-0.21735636420102422</v>
      </c>
      <c r="G51" s="23">
        <f t="shared" si="17"/>
        <v>-0.11735636420102424</v>
      </c>
      <c r="H51" s="23">
        <f t="shared" si="17"/>
        <v>-6.7356364201024199E-2</v>
      </c>
      <c r="I51" s="23">
        <f t="shared" si="17"/>
        <v>-5.735636420102419E-2</v>
      </c>
      <c r="J51" s="23">
        <f t="shared" si="17"/>
        <v>-4.7356364201024181E-2</v>
      </c>
      <c r="K51" s="23">
        <f t="shared" si="17"/>
        <v>-3.7356364201024173E-2</v>
      </c>
      <c r="L51" s="23">
        <f t="shared" si="17"/>
        <v>-2.7356364201024164E-2</v>
      </c>
      <c r="M51" s="23">
        <f t="shared" si="17"/>
        <v>-1.7356364201024155E-2</v>
      </c>
      <c r="N51" s="23">
        <f t="shared" si="17"/>
        <v>-7.3563642010241459E-3</v>
      </c>
      <c r="O51" s="23">
        <f t="shared" si="17"/>
        <v>2.643635798975752E-3</v>
      </c>
      <c r="P51" s="23">
        <f t="shared" si="17"/>
        <v>1.2643635798975761E-2</v>
      </c>
      <c r="Q51" s="23">
        <f t="shared" si="17"/>
        <v>2.264363579897577E-2</v>
      </c>
      <c r="R51" s="23">
        <f t="shared" si="17"/>
        <v>3.2643635798975779E-2</v>
      </c>
      <c r="S51" s="23">
        <f t="shared" si="17"/>
        <v>4.2643635798975787E-2</v>
      </c>
      <c r="T51" s="23">
        <f t="shared" si="17"/>
        <v>5.2643635798975796E-2</v>
      </c>
      <c r="U51" s="23">
        <f t="shared" si="17"/>
        <v>6.2643635798975805E-2</v>
      </c>
      <c r="V51" s="23">
        <f t="shared" si="17"/>
        <v>7.2643635798975814E-2</v>
      </c>
      <c r="W51" s="23">
        <f t="shared" si="17"/>
        <v>8.2643635798975823E-2</v>
      </c>
      <c r="X51" s="23">
        <f t="shared" si="17"/>
        <v>9.2643635798975832E-2</v>
      </c>
      <c r="Y51" s="23">
        <f t="shared" si="17"/>
        <v>0.10264363579897584</v>
      </c>
      <c r="Z51" s="23">
        <f t="shared" si="17"/>
        <v>0.11264363579897585</v>
      </c>
      <c r="AA51" s="23">
        <f t="shared" si="17"/>
        <v>0.12264363579897575</v>
      </c>
      <c r="AB51" s="23">
        <f t="shared" si="17"/>
        <v>0.13264363579897576</v>
      </c>
    </row>
    <row r="52" spans="2:28" ht="15.75" thickBot="1" x14ac:dyDescent="0.3">
      <c r="B52" s="28">
        <v>0.55000000000000004</v>
      </c>
      <c r="C52" s="25">
        <f t="shared" si="16"/>
        <v>0.8100738468289016</v>
      </c>
      <c r="D52" s="23">
        <f t="shared" si="17"/>
        <v>-0.8100738468289016</v>
      </c>
      <c r="E52" s="23">
        <f t="shared" si="17"/>
        <v>-0.3100738468289016</v>
      </c>
      <c r="F52" s="23">
        <f t="shared" si="17"/>
        <v>-0.21007384682890162</v>
      </c>
      <c r="G52" s="23">
        <f t="shared" si="17"/>
        <v>-0.11007384682890164</v>
      </c>
      <c r="H52" s="23">
        <f t="shared" si="17"/>
        <v>-6.00738468289016E-2</v>
      </c>
      <c r="I52" s="23">
        <f t="shared" si="17"/>
        <v>-5.0073846828901591E-2</v>
      </c>
      <c r="J52" s="23">
        <f t="shared" si="17"/>
        <v>-4.0073846828901583E-2</v>
      </c>
      <c r="K52" s="23">
        <f t="shared" si="17"/>
        <v>-3.0073846828901574E-2</v>
      </c>
      <c r="L52" s="23">
        <f t="shared" si="17"/>
        <v>-2.0073846828901565E-2</v>
      </c>
      <c r="M52" s="23">
        <f t="shared" si="17"/>
        <v>-1.0073846828901556E-2</v>
      </c>
      <c r="N52" s="23">
        <f t="shared" si="17"/>
        <v>-7.3846828901547035E-5</v>
      </c>
      <c r="O52" s="23">
        <f t="shared" si="17"/>
        <v>9.9261531710983508E-3</v>
      </c>
      <c r="P52" s="23">
        <f t="shared" si="17"/>
        <v>1.992615317109836E-2</v>
      </c>
      <c r="Q52" s="23">
        <f t="shared" si="17"/>
        <v>2.9926153171098369E-2</v>
      </c>
      <c r="R52" s="23">
        <f t="shared" si="17"/>
        <v>3.9926153171098377E-2</v>
      </c>
      <c r="S52" s="23">
        <f t="shared" ref="S52:AB52" si="18">S$26-$C52</f>
        <v>4.9926153171098386E-2</v>
      </c>
      <c r="T52" s="23">
        <f t="shared" si="18"/>
        <v>5.9926153171098395E-2</v>
      </c>
      <c r="U52" s="23">
        <f t="shared" si="18"/>
        <v>6.9926153171098404E-2</v>
      </c>
      <c r="V52" s="23">
        <f t="shared" si="18"/>
        <v>7.9926153171098413E-2</v>
      </c>
      <c r="W52" s="23">
        <f t="shared" si="18"/>
        <v>8.9926153171098422E-2</v>
      </c>
      <c r="X52" s="23">
        <f t="shared" si="18"/>
        <v>9.9926153171098431E-2</v>
      </c>
      <c r="Y52" s="23">
        <f t="shared" si="18"/>
        <v>0.10992615317109844</v>
      </c>
      <c r="Z52" s="23">
        <f t="shared" si="18"/>
        <v>0.11992615317109845</v>
      </c>
      <c r="AA52" s="23">
        <f t="shared" si="18"/>
        <v>0.12992615317109835</v>
      </c>
      <c r="AB52" s="23">
        <f t="shared" si="18"/>
        <v>0.13992615317109836</v>
      </c>
    </row>
    <row r="53" spans="2:28" ht="15.75" thickBot="1" x14ac:dyDescent="0.3">
      <c r="B53" s="28">
        <v>0.6</v>
      </c>
      <c r="C53" s="25">
        <f t="shared" si="16"/>
        <v>0.802791329456779</v>
      </c>
      <c r="D53" s="23">
        <f t="shared" ref="D53:AB57" si="19">D$26-$C53</f>
        <v>-0.802791329456779</v>
      </c>
      <c r="E53" s="23">
        <f t="shared" si="19"/>
        <v>-0.302791329456779</v>
      </c>
      <c r="F53" s="23">
        <f t="shared" si="19"/>
        <v>-0.20279132945677902</v>
      </c>
      <c r="G53" s="23">
        <f t="shared" si="19"/>
        <v>-0.10279132945677905</v>
      </c>
      <c r="H53" s="23">
        <f t="shared" si="19"/>
        <v>-5.2791329456779001E-2</v>
      </c>
      <c r="I53" s="23">
        <f t="shared" si="19"/>
        <v>-4.2791329456778993E-2</v>
      </c>
      <c r="J53" s="23">
        <f t="shared" si="19"/>
        <v>-3.2791329456778984E-2</v>
      </c>
      <c r="K53" s="23">
        <f t="shared" si="19"/>
        <v>-2.2791329456778975E-2</v>
      </c>
      <c r="L53" s="23">
        <f t="shared" si="19"/>
        <v>-1.2791329456778966E-2</v>
      </c>
      <c r="M53" s="23">
        <f t="shared" si="19"/>
        <v>-2.7913294567789571E-3</v>
      </c>
      <c r="N53" s="23">
        <f t="shared" si="19"/>
        <v>7.2086705432210518E-3</v>
      </c>
      <c r="O53" s="23">
        <f t="shared" si="19"/>
        <v>1.720867054322095E-2</v>
      </c>
      <c r="P53" s="23">
        <f t="shared" si="19"/>
        <v>2.7208670543220959E-2</v>
      </c>
      <c r="Q53" s="23">
        <f t="shared" si="19"/>
        <v>3.7208670543220967E-2</v>
      </c>
      <c r="R53" s="23">
        <f t="shared" si="19"/>
        <v>4.7208670543220976E-2</v>
      </c>
      <c r="S53" s="23">
        <f t="shared" si="19"/>
        <v>5.7208670543220985E-2</v>
      </c>
      <c r="T53" s="23">
        <f t="shared" si="19"/>
        <v>6.7208670543220994E-2</v>
      </c>
      <c r="U53" s="23">
        <f t="shared" si="19"/>
        <v>7.7208670543221003E-2</v>
      </c>
      <c r="V53" s="23">
        <f t="shared" si="19"/>
        <v>8.7208670543221012E-2</v>
      </c>
      <c r="W53" s="23">
        <f t="shared" si="19"/>
        <v>9.7208670543221021E-2</v>
      </c>
      <c r="X53" s="23">
        <f t="shared" si="19"/>
        <v>0.10720867054322103</v>
      </c>
      <c r="Y53" s="23">
        <f t="shared" si="19"/>
        <v>0.11720867054322104</v>
      </c>
      <c r="Z53" s="23">
        <f t="shared" si="19"/>
        <v>0.12720867054322105</v>
      </c>
      <c r="AA53" s="23">
        <f t="shared" si="19"/>
        <v>0.13720867054322095</v>
      </c>
      <c r="AB53" s="23">
        <f t="shared" si="19"/>
        <v>0.14720867054322095</v>
      </c>
    </row>
    <row r="54" spans="2:28" ht="15.75" thickBot="1" x14ac:dyDescent="0.3">
      <c r="B54" s="28">
        <v>0.65</v>
      </c>
      <c r="C54" s="25">
        <f t="shared" si="16"/>
        <v>0.7955088120846564</v>
      </c>
      <c r="D54" s="23">
        <f t="shared" si="19"/>
        <v>-0.7955088120846564</v>
      </c>
      <c r="E54" s="23">
        <f t="shared" si="19"/>
        <v>-0.2955088120846564</v>
      </c>
      <c r="F54" s="23">
        <f t="shared" si="19"/>
        <v>-0.19550881208465642</v>
      </c>
      <c r="G54" s="23">
        <f t="shared" si="19"/>
        <v>-9.5508812084656447E-2</v>
      </c>
      <c r="H54" s="23">
        <f t="shared" si="19"/>
        <v>-4.5508812084656403E-2</v>
      </c>
      <c r="I54" s="23">
        <f t="shared" si="19"/>
        <v>-3.5508812084656394E-2</v>
      </c>
      <c r="J54" s="23">
        <f t="shared" si="19"/>
        <v>-2.5508812084656385E-2</v>
      </c>
      <c r="K54" s="23">
        <f t="shared" si="19"/>
        <v>-1.5508812084656376E-2</v>
      </c>
      <c r="L54" s="23">
        <f t="shared" si="19"/>
        <v>-5.5088120846563671E-3</v>
      </c>
      <c r="M54" s="23">
        <f t="shared" si="19"/>
        <v>4.4911879153436418E-3</v>
      </c>
      <c r="N54" s="23">
        <f t="shared" si="19"/>
        <v>1.4491187915343651E-2</v>
      </c>
      <c r="O54" s="23">
        <f t="shared" si="19"/>
        <v>2.4491187915343549E-2</v>
      </c>
      <c r="P54" s="23">
        <f t="shared" si="19"/>
        <v>3.4491187915343557E-2</v>
      </c>
      <c r="Q54" s="23">
        <f t="shared" si="19"/>
        <v>4.4491187915343566E-2</v>
      </c>
      <c r="R54" s="23">
        <f t="shared" si="19"/>
        <v>5.4491187915343575E-2</v>
      </c>
      <c r="S54" s="23">
        <f t="shared" si="19"/>
        <v>6.4491187915343584E-2</v>
      </c>
      <c r="T54" s="23">
        <f t="shared" si="19"/>
        <v>7.4491187915343593E-2</v>
      </c>
      <c r="U54" s="23">
        <f t="shared" si="19"/>
        <v>8.4491187915343602E-2</v>
      </c>
      <c r="V54" s="23">
        <f t="shared" si="19"/>
        <v>9.4491187915343611E-2</v>
      </c>
      <c r="W54" s="23">
        <f t="shared" si="19"/>
        <v>0.10449118791534362</v>
      </c>
      <c r="X54" s="23">
        <f t="shared" si="19"/>
        <v>0.11449118791534363</v>
      </c>
      <c r="Y54" s="23">
        <f t="shared" si="19"/>
        <v>0.12449118791534364</v>
      </c>
      <c r="Z54" s="23">
        <f t="shared" si="19"/>
        <v>0.13449118791534365</v>
      </c>
      <c r="AA54" s="23">
        <f t="shared" si="19"/>
        <v>0.14449118791534354</v>
      </c>
      <c r="AB54" s="23">
        <f t="shared" si="19"/>
        <v>0.15449118791534355</v>
      </c>
    </row>
    <row r="55" spans="2:28" ht="15.75" thickBot="1" x14ac:dyDescent="0.3">
      <c r="B55" s="28">
        <v>0.7</v>
      </c>
      <c r="C55" s="25">
        <f t="shared" si="16"/>
        <v>0.7882262947125338</v>
      </c>
      <c r="D55" s="23">
        <f t="shared" si="19"/>
        <v>-0.7882262947125338</v>
      </c>
      <c r="E55" s="23">
        <f t="shared" si="19"/>
        <v>-0.2882262947125338</v>
      </c>
      <c r="F55" s="23">
        <f t="shared" si="19"/>
        <v>-0.18822629471253383</v>
      </c>
      <c r="G55" s="23">
        <f t="shared" si="19"/>
        <v>-8.8226294712533848E-2</v>
      </c>
      <c r="H55" s="23">
        <f t="shared" si="19"/>
        <v>-3.8226294712533804E-2</v>
      </c>
      <c r="I55" s="23">
        <f t="shared" si="19"/>
        <v>-2.8226294712533795E-2</v>
      </c>
      <c r="J55" s="23">
        <f t="shared" si="19"/>
        <v>-1.8226294712533786E-2</v>
      </c>
      <c r="K55" s="23">
        <f t="shared" si="19"/>
        <v>-8.2262947125337771E-3</v>
      </c>
      <c r="L55" s="23">
        <f t="shared" si="19"/>
        <v>1.7737052874662318E-3</v>
      </c>
      <c r="M55" s="23">
        <f t="shared" si="19"/>
        <v>1.1773705287466241E-2</v>
      </c>
      <c r="N55" s="23">
        <f t="shared" si="19"/>
        <v>2.177370528746625E-2</v>
      </c>
      <c r="O55" s="23">
        <f t="shared" si="19"/>
        <v>3.1773705287466147E-2</v>
      </c>
      <c r="P55" s="23">
        <f t="shared" si="19"/>
        <v>4.1773705287466156E-2</v>
      </c>
      <c r="Q55" s="23">
        <f t="shared" si="19"/>
        <v>5.1773705287466165E-2</v>
      </c>
      <c r="R55" s="23">
        <f t="shared" si="19"/>
        <v>6.1773705287466174E-2</v>
      </c>
      <c r="S55" s="23">
        <f t="shared" si="19"/>
        <v>7.1773705287466183E-2</v>
      </c>
      <c r="T55" s="23">
        <f t="shared" si="19"/>
        <v>8.1773705287466192E-2</v>
      </c>
      <c r="U55" s="23">
        <f t="shared" si="19"/>
        <v>9.1773705287466201E-2</v>
      </c>
      <c r="V55" s="23">
        <f t="shared" si="19"/>
        <v>0.10177370528746621</v>
      </c>
      <c r="W55" s="23">
        <f t="shared" si="19"/>
        <v>0.11177370528746622</v>
      </c>
      <c r="X55" s="23">
        <f t="shared" si="19"/>
        <v>0.12177370528746623</v>
      </c>
      <c r="Y55" s="23">
        <f t="shared" si="19"/>
        <v>0.13177370528746624</v>
      </c>
      <c r="Z55" s="23">
        <f t="shared" si="19"/>
        <v>0.14177370528746625</v>
      </c>
      <c r="AA55" s="23">
        <f t="shared" si="19"/>
        <v>0.15177370528746614</v>
      </c>
      <c r="AB55" s="23">
        <f t="shared" si="19"/>
        <v>0.16177370528746615</v>
      </c>
    </row>
    <row r="56" spans="2:28" ht="15.75" thickBot="1" x14ac:dyDescent="0.3">
      <c r="B56" s="28">
        <v>0.75</v>
      </c>
      <c r="C56" s="25">
        <f t="shared" si="16"/>
        <v>0.78094377734041132</v>
      </c>
      <c r="D56" s="23">
        <f t="shared" si="19"/>
        <v>-0.78094377734041132</v>
      </c>
      <c r="E56" s="23">
        <f t="shared" si="19"/>
        <v>-0.28094377734041132</v>
      </c>
      <c r="F56" s="23">
        <f t="shared" si="19"/>
        <v>-0.18094377734041134</v>
      </c>
      <c r="G56" s="23">
        <f t="shared" si="19"/>
        <v>-8.094377734041136E-2</v>
      </c>
      <c r="H56" s="23">
        <f t="shared" si="19"/>
        <v>-3.0943777340411316E-2</v>
      </c>
      <c r="I56" s="23">
        <f t="shared" si="19"/>
        <v>-2.0943777340411307E-2</v>
      </c>
      <c r="J56" s="23">
        <f t="shared" si="19"/>
        <v>-1.0943777340411298E-2</v>
      </c>
      <c r="K56" s="23">
        <f t="shared" si="19"/>
        <v>-9.4377734041128925E-4</v>
      </c>
      <c r="L56" s="23">
        <f t="shared" si="19"/>
        <v>9.0562226595887196E-3</v>
      </c>
      <c r="M56" s="23">
        <f t="shared" si="19"/>
        <v>1.9056222659588729E-2</v>
      </c>
      <c r="N56" s="23">
        <f t="shared" si="19"/>
        <v>2.9056222659588737E-2</v>
      </c>
      <c r="O56" s="23">
        <f t="shared" si="19"/>
        <v>3.9056222659588635E-2</v>
      </c>
      <c r="P56" s="23">
        <f t="shared" si="19"/>
        <v>4.9056222659588644E-2</v>
      </c>
      <c r="Q56" s="23">
        <f t="shared" si="19"/>
        <v>5.9056222659588653E-2</v>
      </c>
      <c r="R56" s="23">
        <f t="shared" si="19"/>
        <v>6.9056222659588662E-2</v>
      </c>
      <c r="S56" s="23">
        <f t="shared" si="19"/>
        <v>7.9056222659588671E-2</v>
      </c>
      <c r="T56" s="23">
        <f t="shared" si="19"/>
        <v>8.905622265958868E-2</v>
      </c>
      <c r="U56" s="23">
        <f t="shared" si="19"/>
        <v>9.9056222659588689E-2</v>
      </c>
      <c r="V56" s="23">
        <f t="shared" si="19"/>
        <v>0.1090562226595887</v>
      </c>
      <c r="W56" s="23">
        <f t="shared" si="19"/>
        <v>0.11905622265958871</v>
      </c>
      <c r="X56" s="23">
        <f t="shared" si="19"/>
        <v>0.12905622265958872</v>
      </c>
      <c r="Y56" s="23">
        <f t="shared" si="19"/>
        <v>0.13905622265958872</v>
      </c>
      <c r="Z56" s="23">
        <f t="shared" si="19"/>
        <v>0.14905622265958873</v>
      </c>
      <c r="AA56" s="23">
        <f t="shared" si="19"/>
        <v>0.15905622265958863</v>
      </c>
      <c r="AB56" s="23">
        <f t="shared" si="19"/>
        <v>0.16905622265958864</v>
      </c>
    </row>
    <row r="57" spans="2:28" ht="15.75" thickBot="1" x14ac:dyDescent="0.3">
      <c r="B57" s="29">
        <v>0.8</v>
      </c>
      <c r="C57" s="30">
        <f t="shared" si="16"/>
        <v>0.77366125996828872</v>
      </c>
      <c r="D57" s="23">
        <f t="shared" si="19"/>
        <v>-0.77366125996828872</v>
      </c>
      <c r="E57" s="23">
        <f t="shared" si="19"/>
        <v>-0.27366125996828872</v>
      </c>
      <c r="F57" s="23">
        <f t="shared" si="19"/>
        <v>-0.17366125996828874</v>
      </c>
      <c r="G57" s="23">
        <f t="shared" si="19"/>
        <v>-7.3661259968288761E-2</v>
      </c>
      <c r="H57" s="23">
        <f t="shared" si="19"/>
        <v>-2.3661259968288717E-2</v>
      </c>
      <c r="I57" s="23">
        <f t="shared" si="19"/>
        <v>-1.3661259968288708E-2</v>
      </c>
      <c r="J57" s="23">
        <f t="shared" si="19"/>
        <v>-3.6612599682886993E-3</v>
      </c>
      <c r="K57" s="23">
        <f t="shared" si="19"/>
        <v>6.3387400317113096E-3</v>
      </c>
      <c r="L57" s="23">
        <f t="shared" si="19"/>
        <v>1.6338740031711319E-2</v>
      </c>
      <c r="M57" s="23">
        <f t="shared" si="19"/>
        <v>2.6338740031711327E-2</v>
      </c>
      <c r="N57" s="23">
        <f t="shared" si="19"/>
        <v>3.6338740031711336E-2</v>
      </c>
      <c r="O57" s="23">
        <f t="shared" si="19"/>
        <v>4.6338740031711234E-2</v>
      </c>
      <c r="P57" s="23">
        <f t="shared" si="19"/>
        <v>5.6338740031711243E-2</v>
      </c>
      <c r="Q57" s="23">
        <f t="shared" si="19"/>
        <v>6.6338740031711252E-2</v>
      </c>
      <c r="R57" s="23">
        <f t="shared" si="19"/>
        <v>7.6338740031711261E-2</v>
      </c>
      <c r="S57" s="23">
        <f t="shared" si="19"/>
        <v>8.633874003171127E-2</v>
      </c>
      <c r="T57" s="23">
        <f t="shared" si="19"/>
        <v>9.6338740031711279E-2</v>
      </c>
      <c r="U57" s="23">
        <f t="shared" si="19"/>
        <v>0.10633874003171129</v>
      </c>
      <c r="V57" s="23">
        <f t="shared" si="19"/>
        <v>0.1163387400317113</v>
      </c>
      <c r="W57" s="23">
        <f t="shared" si="19"/>
        <v>0.12633874003171131</v>
      </c>
      <c r="X57" s="23">
        <f t="shared" si="19"/>
        <v>0.13633874003171131</v>
      </c>
      <c r="Y57" s="23">
        <f t="shared" si="19"/>
        <v>0.14633874003171132</v>
      </c>
      <c r="Z57" s="23">
        <f t="shared" si="19"/>
        <v>0.15633874003171133</v>
      </c>
      <c r="AA57" s="23">
        <f t="shared" si="19"/>
        <v>0.16633874003171123</v>
      </c>
      <c r="AB57" s="23">
        <f t="shared" si="19"/>
        <v>0.17633874003171124</v>
      </c>
    </row>
    <row r="58" spans="2:28" ht="15.75" thickBot="1" x14ac:dyDescent="0.3">
      <c r="B58" s="24"/>
    </row>
    <row r="59" spans="2:28" ht="15.75" thickBot="1" x14ac:dyDescent="0.3">
      <c r="B59" s="26">
        <v>0</v>
      </c>
      <c r="C59" s="27">
        <f t="shared" ref="C59:C66" si="20">C27</f>
        <v>0.89018153792224997</v>
      </c>
      <c r="D59" s="5">
        <f t="shared" ref="D59:AB59" si="21">IF((D$26-$C59)&lt;-0.3,0,($AE$70*((D43+$AE$72)/$AE$71)^$AE$66+$AE$68*(D43+$AE$69)^$AE$67))</f>
        <v>0</v>
      </c>
      <c r="E59" s="5">
        <f t="shared" si="21"/>
        <v>0</v>
      </c>
      <c r="F59" s="5">
        <f t="shared" si="21"/>
        <v>7.2048420467324689E-7</v>
      </c>
      <c r="G59" s="5">
        <f t="shared" si="21"/>
        <v>8.0999492825295318E-5</v>
      </c>
      <c r="H59" s="5">
        <f t="shared" si="21"/>
        <v>1.9613395376359363E-4</v>
      </c>
      <c r="I59" s="5">
        <f t="shared" si="21"/>
        <v>2.266757276831673E-4</v>
      </c>
      <c r="J59" s="5">
        <f t="shared" si="21"/>
        <v>2.5991732578034343E-4</v>
      </c>
      <c r="K59" s="5">
        <f t="shared" si="21"/>
        <v>2.9595632894567029E-4</v>
      </c>
      <c r="L59" s="5">
        <f t="shared" si="21"/>
        <v>3.3492785861295764E-4</v>
      </c>
      <c r="M59" s="5">
        <f t="shared" si="21"/>
        <v>3.7706434692028415E-4</v>
      </c>
      <c r="N59" s="5">
        <f t="shared" si="21"/>
        <v>4.2283453436274017E-4</v>
      </c>
      <c r="O59" s="5">
        <f t="shared" si="21"/>
        <v>4.732545001262934E-4</v>
      </c>
      <c r="P59" s="5">
        <f t="shared" si="21"/>
        <v>5.3055926232962569E-4</v>
      </c>
      <c r="Q59" s="5">
        <f t="shared" si="21"/>
        <v>5.9960610647495031E-4</v>
      </c>
      <c r="R59" s="5">
        <f t="shared" si="21"/>
        <v>6.9071954770636226E-4</v>
      </c>
      <c r="S59" s="5">
        <f t="shared" si="21"/>
        <v>8.2530022437366369E-4</v>
      </c>
      <c r="T59" s="5">
        <f t="shared" si="21"/>
        <v>1.0466011869583521E-3</v>
      </c>
      <c r="U59" s="5">
        <f t="shared" si="21"/>
        <v>1.4399424887952235E-3</v>
      </c>
      <c r="V59" s="5">
        <f t="shared" si="21"/>
        <v>2.1697957358723305E-3</v>
      </c>
      <c r="W59" s="5">
        <f t="shared" si="21"/>
        <v>3.5464200879329107E-3</v>
      </c>
      <c r="X59" s="5">
        <f t="shared" si="21"/>
        <v>6.1432990937083246E-3</v>
      </c>
      <c r="Y59" s="5">
        <f t="shared" si="21"/>
        <v>1.1000383372823126E-2</v>
      </c>
      <c r="Z59" s="5">
        <f t="shared" si="21"/>
        <v>1.9969892319630839E-2</v>
      </c>
      <c r="AA59" s="5">
        <f t="shared" si="21"/>
        <v>3.6295321404147998E-2</v>
      </c>
      <c r="AB59" s="5">
        <f t="shared" si="21"/>
        <v>6.5566413414038738E-2</v>
      </c>
    </row>
    <row r="60" spans="2:28" ht="15.75" thickBot="1" x14ac:dyDescent="0.3">
      <c r="B60" s="28">
        <v>0.1</v>
      </c>
      <c r="C60" s="25">
        <f t="shared" si="20"/>
        <v>0.87561650317800477</v>
      </c>
      <c r="D60" s="5">
        <f t="shared" ref="D60:AB60" si="22">IF((D$26-$C60)&lt;-0.3,0,($AE$70*((D44+$AE$72)/$AE$71)^$AE$66+$AE$68*(D44+$AE$69)^$AE$67))</f>
        <v>0</v>
      </c>
      <c r="E60" s="5">
        <f t="shared" si="22"/>
        <v>0</v>
      </c>
      <c r="F60" s="5">
        <f t="shared" si="22"/>
        <v>3.2081766848032136E-6</v>
      </c>
      <c r="G60" s="5">
        <f t="shared" si="22"/>
        <v>1.0840107447052284E-4</v>
      </c>
      <c r="H60" s="5">
        <f t="shared" si="22"/>
        <v>2.4151030845723484E-4</v>
      </c>
      <c r="I60" s="5">
        <f t="shared" si="22"/>
        <v>2.7601540252465294E-4</v>
      </c>
      <c r="J60" s="5">
        <f t="shared" si="22"/>
        <v>3.133724895721907E-4</v>
      </c>
      <c r="K60" s="5">
        <f t="shared" si="22"/>
        <v>3.5375034932968622E-4</v>
      </c>
      <c r="L60" s="5">
        <f t="shared" si="22"/>
        <v>3.9746463544693535E-4</v>
      </c>
      <c r="M60" s="5">
        <f t="shared" si="22"/>
        <v>4.4517956919944981E-4</v>
      </c>
      <c r="N60" s="5">
        <f t="shared" si="22"/>
        <v>4.9835181482567922E-4</v>
      </c>
      <c r="O60" s="5">
        <f t="shared" si="22"/>
        <v>5.6017435013119561E-4</v>
      </c>
      <c r="P60" s="5">
        <f t="shared" si="22"/>
        <v>6.3752108023599487E-4</v>
      </c>
      <c r="Q60" s="5">
        <f t="shared" si="22"/>
        <v>7.4483818590990504E-4</v>
      </c>
      <c r="R60" s="5">
        <f t="shared" si="22"/>
        <v>9.1172426688708127E-4</v>
      </c>
      <c r="S60" s="5">
        <f t="shared" si="22"/>
        <v>1.197332514940517E-3</v>
      </c>
      <c r="T60" s="5">
        <f t="shared" si="22"/>
        <v>1.7171084524009665E-3</v>
      </c>
      <c r="U60" s="5">
        <f t="shared" si="22"/>
        <v>2.6913703651823447E-3</v>
      </c>
      <c r="V60" s="5">
        <f t="shared" si="22"/>
        <v>4.5318187334709818E-3</v>
      </c>
      <c r="W60" s="5">
        <f t="shared" si="22"/>
        <v>7.992716833211377E-3</v>
      </c>
      <c r="X60" s="5">
        <f t="shared" si="22"/>
        <v>1.4430470992720778E-2</v>
      </c>
      <c r="Y60" s="5">
        <f t="shared" si="22"/>
        <v>2.6242016119577164E-2</v>
      </c>
      <c r="Z60" s="5">
        <f t="shared" si="22"/>
        <v>4.7593726981435137E-2</v>
      </c>
      <c r="AA60" s="5">
        <f t="shared" si="22"/>
        <v>8.5615724211131172E-2</v>
      </c>
      <c r="AB60" s="5">
        <f t="shared" si="22"/>
        <v>0.15233177622936692</v>
      </c>
    </row>
    <row r="61" spans="2:28" ht="15.75" thickBot="1" x14ac:dyDescent="0.3">
      <c r="B61" s="28">
        <v>0.2</v>
      </c>
      <c r="C61" s="25">
        <f t="shared" si="20"/>
        <v>0.86105146843375968</v>
      </c>
      <c r="D61" s="5">
        <f t="shared" ref="D61:AB61" si="23">IF((D$26-$C61)&lt;-0.3,0,($AE$70*((D45+$AE$72)/$AE$71)^$AE$66+$AE$68*(D45+$AE$69)^$AE$67))</f>
        <v>0</v>
      </c>
      <c r="E61" s="5">
        <f t="shared" si="23"/>
        <v>0</v>
      </c>
      <c r="F61" s="5">
        <f t="shared" si="23"/>
        <v>8.1190264132168266E-6</v>
      </c>
      <c r="G61" s="5">
        <f t="shared" si="23"/>
        <v>1.4072212578580676E-4</v>
      </c>
      <c r="H61" s="5">
        <f t="shared" si="23"/>
        <v>2.9270709683197854E-4</v>
      </c>
      <c r="I61" s="5">
        <f t="shared" si="23"/>
        <v>3.3141632648000212E-4</v>
      </c>
      <c r="J61" s="5">
        <f t="shared" si="23"/>
        <v>3.7326373210843261E-4</v>
      </c>
      <c r="K61" s="5">
        <f t="shared" si="23"/>
        <v>4.186885532211989E-4</v>
      </c>
      <c r="L61" s="5">
        <f t="shared" si="23"/>
        <v>4.6863963745296148E-4</v>
      </c>
      <c r="M61" s="5">
        <f t="shared" si="23"/>
        <v>5.2520438420396826E-4</v>
      </c>
      <c r="N61" s="5">
        <f t="shared" si="23"/>
        <v>5.9292655909010583E-4</v>
      </c>
      <c r="O61" s="5">
        <f t="shared" si="23"/>
        <v>6.8148467189195732E-4</v>
      </c>
      <c r="P61" s="5">
        <f t="shared" si="23"/>
        <v>8.1098482043177986E-4</v>
      </c>
      <c r="Q61" s="5">
        <f t="shared" si="23"/>
        <v>1.0221518274832224E-3</v>
      </c>
      <c r="R61" s="5">
        <f t="shared" si="23"/>
        <v>1.3954847060030453E-3</v>
      </c>
      <c r="S61" s="5">
        <f t="shared" si="23"/>
        <v>2.0864641248720785E-3</v>
      </c>
      <c r="T61" s="5">
        <f t="shared" si="23"/>
        <v>3.3889262919267571E-3</v>
      </c>
      <c r="U61" s="5">
        <f t="shared" si="23"/>
        <v>5.8469336208456461E-3</v>
      </c>
      <c r="V61" s="5">
        <f t="shared" si="23"/>
        <v>1.0448681400336312E-2</v>
      </c>
      <c r="W61" s="5">
        <f t="shared" si="23"/>
        <v>1.8956890447063956E-2</v>
      </c>
      <c r="X61" s="5">
        <f t="shared" si="23"/>
        <v>3.4462763735180126E-2</v>
      </c>
      <c r="Y61" s="5">
        <f t="shared" si="23"/>
        <v>6.2300808609446187E-2</v>
      </c>
      <c r="Z61" s="5">
        <f t="shared" si="23"/>
        <v>0.11153815163232764</v>
      </c>
      <c r="AA61" s="5">
        <f t="shared" si="23"/>
        <v>0.19736657520637352</v>
      </c>
      <c r="AB61" s="5">
        <f t="shared" si="23"/>
        <v>0.34489563047448196</v>
      </c>
    </row>
    <row r="62" spans="2:28" ht="15.75" thickBot="1" x14ac:dyDescent="0.3">
      <c r="B62" s="28">
        <v>0.25</v>
      </c>
      <c r="C62" s="25">
        <f t="shared" si="20"/>
        <v>0.85376895106163708</v>
      </c>
      <c r="D62" s="5">
        <f t="shared" ref="D62:AB62" si="24">IF((D$26-$C62)&lt;-0.3,0,($AE$70*((D46+$AE$72)/$AE$71)^$AE$66+$AE$68*(D46+$AE$69)^$AE$67))</f>
        <v>0</v>
      </c>
      <c r="E62" s="5">
        <f t="shared" si="24"/>
        <v>0</v>
      </c>
      <c r="F62" s="5">
        <f t="shared" si="24"/>
        <v>1.1643108189510472E-5</v>
      </c>
      <c r="G62" s="5">
        <f t="shared" si="24"/>
        <v>1.588105402649871E-4</v>
      </c>
      <c r="H62" s="5">
        <f t="shared" si="24"/>
        <v>3.2059837445847904E-4</v>
      </c>
      <c r="I62" s="5">
        <f t="shared" si="24"/>
        <v>3.6156219734964867E-4</v>
      </c>
      <c r="J62" s="5">
        <f t="shared" si="24"/>
        <v>4.0595004022783536E-4</v>
      </c>
      <c r="K62" s="5">
        <f t="shared" si="24"/>
        <v>4.545287465836553E-4</v>
      </c>
      <c r="L62" s="5">
        <f t="shared" si="24"/>
        <v>5.08983608536371E-4</v>
      </c>
      <c r="M62" s="5">
        <f t="shared" si="24"/>
        <v>5.7299958035315912E-4</v>
      </c>
      <c r="N62" s="5">
        <f t="shared" si="24"/>
        <v>6.5447649806073174E-4</v>
      </c>
      <c r="O62" s="5">
        <f t="shared" si="24"/>
        <v>7.699392399608874E-4</v>
      </c>
      <c r="P62" s="5">
        <f t="shared" si="24"/>
        <v>9.5308778894166648E-4</v>
      </c>
      <c r="Q62" s="5">
        <f t="shared" si="24"/>
        <v>1.2709708309857071E-3</v>
      </c>
      <c r="R62" s="5">
        <f t="shared" si="24"/>
        <v>1.8538893851517075E-3</v>
      </c>
      <c r="S62" s="5">
        <f t="shared" si="24"/>
        <v>2.9495222704111314E-3</v>
      </c>
      <c r="T62" s="5">
        <f t="shared" si="24"/>
        <v>5.0189663984342766E-3</v>
      </c>
      <c r="U62" s="5">
        <f t="shared" si="24"/>
        <v>8.9040130236439502E-3</v>
      </c>
      <c r="V62" s="5">
        <f t="shared" si="24"/>
        <v>1.6113464974462453E-2</v>
      </c>
      <c r="W62" s="5">
        <f t="shared" si="24"/>
        <v>2.93052521638698E-2</v>
      </c>
      <c r="X62" s="5">
        <f t="shared" si="24"/>
        <v>5.3085829553878729E-2</v>
      </c>
      <c r="Y62" s="5">
        <f t="shared" si="24"/>
        <v>9.5316545324708568E-2</v>
      </c>
      <c r="Z62" s="5">
        <f t="shared" si="24"/>
        <v>0.1692194033000316</v>
      </c>
      <c r="AA62" s="5">
        <f t="shared" si="24"/>
        <v>0.29672761754527405</v>
      </c>
      <c r="AB62" s="5">
        <f t="shared" si="24"/>
        <v>0.5137516570592886</v>
      </c>
    </row>
    <row r="63" spans="2:28" ht="15.75" thickBot="1" x14ac:dyDescent="0.3">
      <c r="B63" s="28">
        <v>0.3</v>
      </c>
      <c r="C63" s="25">
        <f t="shared" si="20"/>
        <v>0.84648643368951448</v>
      </c>
      <c r="D63" s="5">
        <f t="shared" ref="D63:AB63" si="25">IF((D$26-$C63)&lt;-0.3,0,($AE$70*((D47+$AE$72)/$AE$71)^$AE$66+$AE$68*(D47+$AE$69)^$AE$67))</f>
        <v>0</v>
      </c>
      <c r="E63" s="5">
        <f t="shared" si="25"/>
        <v>0</v>
      </c>
      <c r="F63" s="5">
        <f t="shared" si="25"/>
        <v>1.5954242444331243E-5</v>
      </c>
      <c r="G63" s="5">
        <f t="shared" si="25"/>
        <v>1.7822703414845263E-4</v>
      </c>
      <c r="H63" s="5">
        <f t="shared" si="25"/>
        <v>3.5011138835514558E-4</v>
      </c>
      <c r="I63" s="5">
        <f t="shared" si="25"/>
        <v>3.9351617025237568E-4</v>
      </c>
      <c r="J63" s="5">
        <f t="shared" si="25"/>
        <v>4.4084118594011468E-4</v>
      </c>
      <c r="K63" s="5">
        <f t="shared" si="25"/>
        <v>4.9344640815999607E-4</v>
      </c>
      <c r="L63" s="5">
        <f t="shared" si="25"/>
        <v>5.5431579764545109E-4</v>
      </c>
      <c r="M63" s="5">
        <f t="shared" si="25"/>
        <v>6.2988557863977244E-4</v>
      </c>
      <c r="N63" s="5">
        <f t="shared" si="25"/>
        <v>7.3371173244457478E-4</v>
      </c>
      <c r="O63" s="5">
        <f t="shared" si="25"/>
        <v>8.9363024304254255E-4</v>
      </c>
      <c r="P63" s="5">
        <f t="shared" si="25"/>
        <v>1.1653900042061494E-3</v>
      </c>
      <c r="Q63" s="5">
        <f t="shared" si="25"/>
        <v>1.6580117611929882E-3</v>
      </c>
      <c r="R63" s="5">
        <f t="shared" si="25"/>
        <v>2.5799471038022654E-3</v>
      </c>
      <c r="S63" s="5">
        <f t="shared" si="25"/>
        <v>4.3214154581129333E-3</v>
      </c>
      <c r="T63" s="5">
        <f t="shared" si="25"/>
        <v>7.5985217570214642E-3</v>
      </c>
      <c r="U63" s="5">
        <f t="shared" si="25"/>
        <v>1.370107840515411E-2</v>
      </c>
      <c r="V63" s="5">
        <f t="shared" si="25"/>
        <v>2.4911719583877362E-2</v>
      </c>
      <c r="W63" s="5">
        <f t="shared" si="25"/>
        <v>4.5203689458247591E-2</v>
      </c>
      <c r="X63" s="5">
        <f t="shared" si="25"/>
        <v>8.1385576708456753E-2</v>
      </c>
      <c r="Y63" s="5">
        <f t="shared" si="25"/>
        <v>0.14495328828423829</v>
      </c>
      <c r="Z63" s="5">
        <f t="shared" si="25"/>
        <v>0.25504699581000179</v>
      </c>
      <c r="AA63" s="5">
        <f t="shared" si="25"/>
        <v>0.44311380093536279</v>
      </c>
      <c r="AB63" s="5">
        <f t="shared" si="25"/>
        <v>0.76017360092280872</v>
      </c>
    </row>
    <row r="64" spans="2:28" ht="15.75" thickBot="1" x14ac:dyDescent="0.3">
      <c r="B64" s="28">
        <v>0.35</v>
      </c>
      <c r="C64" s="25">
        <f t="shared" si="20"/>
        <v>0.83920391631739188</v>
      </c>
      <c r="D64" s="5">
        <f t="shared" ref="D64:AB64" si="26">IF((D$26-$C64)&lt;-0.3,0,($AE$70*((D48+$AE$72)/$AE$71)^$AE$66+$AE$68*(D48+$AE$69)^$AE$67))</f>
        <v>0</v>
      </c>
      <c r="E64" s="5">
        <f t="shared" si="26"/>
        <v>0</v>
      </c>
      <c r="F64" s="5">
        <f t="shared" si="26"/>
        <v>2.1103680907006398E-5</v>
      </c>
      <c r="G64" s="5">
        <f t="shared" si="26"/>
        <v>1.990031260075781E-4</v>
      </c>
      <c r="H64" s="5">
        <f t="shared" si="26"/>
        <v>3.8136791164241756E-4</v>
      </c>
      <c r="I64" s="5">
        <f t="shared" si="26"/>
        <v>4.2753495358684103E-4</v>
      </c>
      <c r="J64" s="5">
        <f t="shared" si="26"/>
        <v>4.7850110315841155E-4</v>
      </c>
      <c r="K64" s="5">
        <f t="shared" si="26"/>
        <v>5.3667947280516836E-4</v>
      </c>
      <c r="L64" s="5">
        <f t="shared" si="26"/>
        <v>6.0730449222701937E-4</v>
      </c>
      <c r="M64" s="5">
        <f t="shared" si="26"/>
        <v>7.014757061164404E-4</v>
      </c>
      <c r="N64" s="5">
        <f t="shared" si="26"/>
        <v>8.4214302412724019E-4</v>
      </c>
      <c r="O64" s="5">
        <f t="shared" si="26"/>
        <v>1.0755783095824523E-3</v>
      </c>
      <c r="P64" s="5">
        <f t="shared" si="26"/>
        <v>1.4928459351248339E-3</v>
      </c>
      <c r="Q64" s="5">
        <f t="shared" si="26"/>
        <v>2.2691091115358713E-3</v>
      </c>
      <c r="R64" s="5">
        <f t="shared" si="26"/>
        <v>3.7341203014145149E-3</v>
      </c>
      <c r="S64" s="5">
        <f t="shared" si="26"/>
        <v>6.4962241219087922E-3</v>
      </c>
      <c r="T64" s="5">
        <f t="shared" si="26"/>
        <v>1.1656596297534984E-2</v>
      </c>
      <c r="U64" s="5">
        <f t="shared" si="26"/>
        <v>2.1173168583411284E-2</v>
      </c>
      <c r="V64" s="5">
        <f t="shared" si="26"/>
        <v>3.846905935368071E-2</v>
      </c>
      <c r="W64" s="5">
        <f t="shared" si="26"/>
        <v>6.9434641814926631E-2</v>
      </c>
      <c r="X64" s="5">
        <f t="shared" si="26"/>
        <v>0.12405473271381517</v>
      </c>
      <c r="Y64" s="5">
        <f t="shared" si="26"/>
        <v>0.21901576773121934</v>
      </c>
      <c r="Z64" s="5">
        <f t="shared" si="26"/>
        <v>0.38183061832720738</v>
      </c>
      <c r="AA64" s="5">
        <f t="shared" si="26"/>
        <v>0.65728662781955394</v>
      </c>
      <c r="AB64" s="5">
        <f t="shared" si="26"/>
        <v>1.11741120545504</v>
      </c>
    </row>
    <row r="65" spans="2:31" ht="15.75" thickBot="1" x14ac:dyDescent="0.3">
      <c r="B65" s="28">
        <v>0.4</v>
      </c>
      <c r="C65" s="25">
        <f t="shared" si="20"/>
        <v>0.83192139894526929</v>
      </c>
      <c r="D65" s="5">
        <f t="shared" ref="D65:AB65" si="27">IF((D$26-$C65)&lt;-0.3,0,($AE$70*((D49+$AE$72)/$AE$71)^$AE$66+$AE$68*(D49+$AE$69)^$AE$67))</f>
        <v>0</v>
      </c>
      <c r="E65" s="5">
        <f t="shared" si="27"/>
        <v>0</v>
      </c>
      <c r="F65" s="5">
        <f t="shared" si="27"/>
        <v>2.7139710873720941E-5</v>
      </c>
      <c r="G65" s="5">
        <f t="shared" si="27"/>
        <v>2.2117034937073281E-4</v>
      </c>
      <c r="H65" s="5">
        <f t="shared" si="27"/>
        <v>4.1457616663394801E-4</v>
      </c>
      <c r="I65" s="5">
        <f t="shared" si="27"/>
        <v>4.6407339417550605E-4</v>
      </c>
      <c r="J65" s="5">
        <f t="shared" si="27"/>
        <v>5.1993093413081365E-4</v>
      </c>
      <c r="K65" s="5">
        <f t="shared" si="27"/>
        <v>5.8639855261294371E-4</v>
      </c>
      <c r="L65" s="5">
        <f t="shared" si="27"/>
        <v>6.7254744007078419E-4</v>
      </c>
      <c r="M65" s="5">
        <f t="shared" si="27"/>
        <v>7.9726383296816893E-4</v>
      </c>
      <c r="N65" s="5">
        <f t="shared" si="27"/>
        <v>9.9888501647577032E-4</v>
      </c>
      <c r="O65" s="5">
        <f t="shared" si="27"/>
        <v>1.3533480813293255E-3</v>
      </c>
      <c r="P65" s="5">
        <f t="shared" si="27"/>
        <v>2.0076100393313051E-3</v>
      </c>
      <c r="Q65" s="5">
        <f t="shared" si="27"/>
        <v>3.239910393221353E-3</v>
      </c>
      <c r="R65" s="5">
        <f t="shared" si="27"/>
        <v>5.5663247393176732E-3</v>
      </c>
      <c r="S65" s="5">
        <f t="shared" si="27"/>
        <v>9.9257403089371091E-3</v>
      </c>
      <c r="T65" s="5">
        <f t="shared" si="27"/>
        <v>1.7995487761022937E-2</v>
      </c>
      <c r="U65" s="5">
        <f t="shared" si="27"/>
        <v>3.2721270174374449E-2</v>
      </c>
      <c r="V65" s="5">
        <f t="shared" si="27"/>
        <v>5.9193429376499566E-2</v>
      </c>
      <c r="W65" s="5">
        <f t="shared" si="27"/>
        <v>0.10607522228305044</v>
      </c>
      <c r="X65" s="5">
        <f t="shared" si="27"/>
        <v>0.18789945165719574</v>
      </c>
      <c r="Y65" s="5">
        <f t="shared" si="27"/>
        <v>0.32871424521601333</v>
      </c>
      <c r="Z65" s="5">
        <f t="shared" si="27"/>
        <v>0.56780050521349379</v>
      </c>
      <c r="AA65" s="5">
        <f t="shared" si="27"/>
        <v>0.96853524831578031</v>
      </c>
      <c r="AB65" s="5">
        <f t="shared" si="27"/>
        <v>1.6319817996820178</v>
      </c>
    </row>
    <row r="66" spans="2:31" ht="15.75" thickBot="1" x14ac:dyDescent="0.3">
      <c r="B66" s="28">
        <v>0.45</v>
      </c>
      <c r="C66" s="25">
        <f t="shared" si="20"/>
        <v>0.82463888157314669</v>
      </c>
      <c r="D66" s="5">
        <f t="shared" ref="D66:AB66" si="28">IF((D$26-$C66)&lt;-0.3,0,($AE$70*((D50+$AE$72)/$AE$71)^$AE$66+$AE$68*(D50+$AE$69)^$AE$67))</f>
        <v>0</v>
      </c>
      <c r="E66" s="5">
        <f t="shared" si="28"/>
        <v>0</v>
      </c>
      <c r="F66" s="5">
        <f t="shared" si="28"/>
        <v>3.4108117726534365E-5</v>
      </c>
      <c r="G66" s="5">
        <f t="shared" si="28"/>
        <v>2.4476113994472272E-4</v>
      </c>
      <c r="H66" s="5">
        <f t="shared" si="28"/>
        <v>4.5010316017371477E-4</v>
      </c>
      <c r="I66" s="5">
        <f t="shared" si="28"/>
        <v>5.0394017318159507E-4</v>
      </c>
      <c r="J66" s="5">
        <f t="shared" si="28"/>
        <v>5.6689334742214992E-4</v>
      </c>
      <c r="K66" s="5">
        <f t="shared" si="28"/>
        <v>6.4636243361226669E-4</v>
      </c>
      <c r="L66" s="5">
        <f t="shared" si="28"/>
        <v>7.578603817472786E-4</v>
      </c>
      <c r="M66" s="5">
        <f t="shared" si="28"/>
        <v>9.3309300022386961E-4</v>
      </c>
      <c r="N66" s="5">
        <f t="shared" si="28"/>
        <v>1.2352743445517658E-3</v>
      </c>
      <c r="O66" s="5">
        <f t="shared" si="28"/>
        <v>1.7874980800273446E-3</v>
      </c>
      <c r="P66" s="5">
        <f t="shared" si="28"/>
        <v>2.8241816847037796E-3</v>
      </c>
      <c r="Q66" s="5">
        <f t="shared" si="28"/>
        <v>4.7825021569512238E-3</v>
      </c>
      <c r="R66" s="5">
        <f t="shared" si="28"/>
        <v>8.4619024005757049E-3</v>
      </c>
      <c r="S66" s="5">
        <f t="shared" si="28"/>
        <v>1.5297511552711661E-2</v>
      </c>
      <c r="T66" s="5">
        <f t="shared" si="28"/>
        <v>2.7821181964154482E-2</v>
      </c>
      <c r="U66" s="5">
        <f t="shared" si="28"/>
        <v>5.042693449889156E-2</v>
      </c>
      <c r="V66" s="5">
        <f t="shared" si="28"/>
        <v>9.0623382096783028E-2</v>
      </c>
      <c r="W66" s="5">
        <f t="shared" si="28"/>
        <v>0.16105488746037469</v>
      </c>
      <c r="X66" s="5">
        <f t="shared" si="28"/>
        <v>0.28272104295458378</v>
      </c>
      <c r="Y66" s="5">
        <f t="shared" si="28"/>
        <v>0.4900419902567632</v>
      </c>
      <c r="Z66" s="5">
        <f t="shared" si="28"/>
        <v>0.83873503687665618</v>
      </c>
      <c r="AA66" s="5">
        <f t="shared" si="28"/>
        <v>1.4179273195115387</v>
      </c>
      <c r="AB66" s="5">
        <f t="shared" si="28"/>
        <v>2.3685865707980849</v>
      </c>
      <c r="AD66" s="3" t="s">
        <v>42</v>
      </c>
      <c r="AE66" s="3">
        <f>'Drag Rise'!C12</f>
        <v>22</v>
      </c>
    </row>
    <row r="67" spans="2:31" ht="15.75" thickBot="1" x14ac:dyDescent="0.3">
      <c r="B67" s="28">
        <v>0.5</v>
      </c>
      <c r="C67" s="25">
        <f t="shared" ref="C67:C73" si="29">C35</f>
        <v>0.8173563642010242</v>
      </c>
      <c r="D67" s="5">
        <f t="shared" ref="D67:AB67" si="30">IF((D$26-$C67)&lt;-0.3,0,($AE$70*((D51+$AE$72)/$AE$71)^$AE$66+$AE$68*(D51+$AE$69)^$AE$67))</f>
        <v>0</v>
      </c>
      <c r="E67" s="5">
        <f t="shared" si="30"/>
        <v>0</v>
      </c>
      <c r="F67" s="5">
        <f t="shared" si="30"/>
        <v>4.2052538228057599E-5</v>
      </c>
      <c r="G67" s="5">
        <f t="shared" si="30"/>
        <v>2.6981061524892916E-4</v>
      </c>
      <c r="H67" s="5">
        <f t="shared" si="30"/>
        <v>4.8860152588788507E-4</v>
      </c>
      <c r="I67" s="5">
        <f t="shared" si="30"/>
        <v>5.4856431260412366E-4</v>
      </c>
      <c r="J67" s="5">
        <f t="shared" si="30"/>
        <v>6.2245548793767372E-4</v>
      </c>
      <c r="K67" s="5">
        <f t="shared" si="30"/>
        <v>7.2299323191126255E-4</v>
      </c>
      <c r="L67" s="5">
        <f t="shared" si="30"/>
        <v>8.7635092027719529E-4</v>
      </c>
      <c r="M67" s="5">
        <f t="shared" si="30"/>
        <v>1.1350595810602818E-3</v>
      </c>
      <c r="N67" s="5">
        <f t="shared" si="30"/>
        <v>1.602055196288644E-3</v>
      </c>
      <c r="O67" s="5">
        <f t="shared" si="30"/>
        <v>2.474530238408856E-3</v>
      </c>
      <c r="P67" s="5">
        <f t="shared" si="30"/>
        <v>4.1222882508678066E-3</v>
      </c>
      <c r="Q67" s="5">
        <f t="shared" si="30"/>
        <v>7.2251101347659882E-3</v>
      </c>
      <c r="R67" s="5">
        <f t="shared" si="30"/>
        <v>1.3009320649873099E-2</v>
      </c>
      <c r="S67" s="5">
        <f t="shared" si="30"/>
        <v>2.3648431185712013E-2</v>
      </c>
      <c r="T67" s="5">
        <f t="shared" si="30"/>
        <v>4.2931059211116313E-2</v>
      </c>
      <c r="U67" s="5">
        <f t="shared" si="30"/>
        <v>7.7358033228111855E-2</v>
      </c>
      <c r="V67" s="5">
        <f t="shared" si="30"/>
        <v>0.13791940793833879</v>
      </c>
      <c r="W67" s="5">
        <f t="shared" si="30"/>
        <v>0.2429349006523652</v>
      </c>
      <c r="X67" s="5">
        <f t="shared" si="30"/>
        <v>0.42253758288093374</v>
      </c>
      <c r="Y67" s="5">
        <f t="shared" si="30"/>
        <v>0.72566787362587415</v>
      </c>
      <c r="Z67" s="5">
        <f t="shared" si="30"/>
        <v>1.2308608781137429</v>
      </c>
      <c r="AA67" s="5">
        <f t="shared" si="30"/>
        <v>2.0627069494552011</v>
      </c>
      <c r="AB67" s="5">
        <f t="shared" si="30"/>
        <v>3.416713939501054</v>
      </c>
      <c r="AD67" s="3" t="s">
        <v>43</v>
      </c>
      <c r="AE67" s="3">
        <f>'Drag Rise'!C13</f>
        <v>2.5</v>
      </c>
    </row>
    <row r="68" spans="2:31" ht="15.75" thickBot="1" x14ac:dyDescent="0.3">
      <c r="B68" s="28">
        <v>0.55000000000000004</v>
      </c>
      <c r="C68" s="25">
        <f t="shared" si="29"/>
        <v>0.8100738468289016</v>
      </c>
      <c r="D68" s="5">
        <f t="shared" ref="D68:AB68" si="31">IF((D$26-$C68)&lt;-0.3,0,($AE$70*((D52+$AE$72)/$AE$71)^$AE$66+$AE$68*(D52+$AE$69)^$AE$67))</f>
        <v>0</v>
      </c>
      <c r="E68" s="5">
        <f t="shared" si="31"/>
        <v>0</v>
      </c>
      <c r="F68" s="5">
        <f t="shared" si="31"/>
        <v>5.1014737661564498E-5</v>
      </c>
      <c r="G68" s="5">
        <f t="shared" si="31"/>
        <v>2.9636009803849265E-4</v>
      </c>
      <c r="H68" s="5">
        <f t="shared" si="31"/>
        <v>5.3122802663734447E-4</v>
      </c>
      <c r="I68" s="5">
        <f t="shared" si="31"/>
        <v>6.0044396050290289E-4</v>
      </c>
      <c r="J68" s="5">
        <f t="shared" si="31"/>
        <v>6.9188435469962962E-4</v>
      </c>
      <c r="K68" s="5">
        <f t="shared" si="31"/>
        <v>8.2711550639731038E-4</v>
      </c>
      <c r="L68" s="5">
        <f t="shared" si="31"/>
        <v>1.0497136086866639E-3</v>
      </c>
      <c r="M68" s="5">
        <f t="shared" si="31"/>
        <v>1.4456142238603567E-3</v>
      </c>
      <c r="N68" s="5">
        <f t="shared" si="31"/>
        <v>2.1804356498683116E-3</v>
      </c>
      <c r="O68" s="5">
        <f t="shared" si="31"/>
        <v>3.5665295713194949E-3</v>
      </c>
      <c r="P68" s="5">
        <f t="shared" si="31"/>
        <v>6.1811248060946828E-3</v>
      </c>
      <c r="Q68" s="5">
        <f t="shared" si="31"/>
        <v>1.1070754719378319E-2</v>
      </c>
      <c r="R68" s="5">
        <f t="shared" si="31"/>
        <v>2.0099012843778592E-2</v>
      </c>
      <c r="S68" s="5">
        <f t="shared" si="31"/>
        <v>3.652873442299729E-2</v>
      </c>
      <c r="T68" s="5">
        <f t="shared" si="31"/>
        <v>6.5982051638411823E-2</v>
      </c>
      <c r="U68" s="5">
        <f t="shared" si="31"/>
        <v>0.11800123104351097</v>
      </c>
      <c r="V68" s="5">
        <f t="shared" si="31"/>
        <v>0.20855237528669979</v>
      </c>
      <c r="W68" s="5">
        <f t="shared" si="31"/>
        <v>0.36399079195603035</v>
      </c>
      <c r="X68" s="5">
        <f t="shared" si="31"/>
        <v>0.62726609596008231</v>
      </c>
      <c r="Y68" s="5">
        <f t="shared" si="31"/>
        <v>1.0675216307162305</v>
      </c>
      <c r="Z68" s="5">
        <f t="shared" si="31"/>
        <v>1.7947843569588708</v>
      </c>
      <c r="AA68" s="5">
        <f t="shared" si="31"/>
        <v>2.982213218647908</v>
      </c>
      <c r="AB68" s="5">
        <f t="shared" si="31"/>
        <v>4.899464554757806</v>
      </c>
      <c r="AD68" s="3" t="s">
        <v>44</v>
      </c>
      <c r="AE68" s="3">
        <f>'Drag Rise'!C14</f>
        <v>1.7000000000000001E-2</v>
      </c>
    </row>
    <row r="69" spans="2:31" ht="15.75" thickBot="1" x14ac:dyDescent="0.3">
      <c r="B69" s="28">
        <v>0.6</v>
      </c>
      <c r="C69" s="25">
        <f t="shared" si="29"/>
        <v>0.802791329456779</v>
      </c>
      <c r="D69" s="5">
        <f t="shared" ref="D69:AB69" si="32">IF((D$26-$C69)&lt;-0.3,0,($AE$70*((D53+$AE$72)/$AE$71)^$AE$66+$AE$68*(D53+$AE$69)^$AE$67))</f>
        <v>0</v>
      </c>
      <c r="E69" s="5">
        <f t="shared" si="32"/>
        <v>0</v>
      </c>
      <c r="F69" s="5">
        <f t="shared" si="32"/>
        <v>6.1034832026809949E-5</v>
      </c>
      <c r="G69" s="5">
        <f t="shared" si="32"/>
        <v>3.2446395302450441E-4</v>
      </c>
      <c r="H69" s="5">
        <f t="shared" si="32"/>
        <v>5.8001371185785868E-4</v>
      </c>
      <c r="I69" s="5">
        <f t="shared" si="32"/>
        <v>6.6389057721975982E-4</v>
      </c>
      <c r="J69" s="5">
        <f t="shared" si="32"/>
        <v>7.841025222887826E-4</v>
      </c>
      <c r="K69" s="5">
        <f t="shared" si="32"/>
        <v>9.7673256558821722E-4</v>
      </c>
      <c r="L69" s="5">
        <f t="shared" si="32"/>
        <v>1.3134017974712371E-3</v>
      </c>
      <c r="M69" s="5">
        <f t="shared" si="32"/>
        <v>1.9329878435299574E-3</v>
      </c>
      <c r="N69" s="5">
        <f t="shared" si="32"/>
        <v>3.0989203683564619E-3</v>
      </c>
      <c r="O69" s="5">
        <f t="shared" si="32"/>
        <v>5.3006562326788015E-3</v>
      </c>
      <c r="P69" s="5">
        <f t="shared" si="32"/>
        <v>9.4301122787871488E-3</v>
      </c>
      <c r="Q69" s="5">
        <f t="shared" si="32"/>
        <v>1.7083158813791542E-2</v>
      </c>
      <c r="R69" s="5">
        <f t="shared" si="32"/>
        <v>3.1066504716003189E-2</v>
      </c>
      <c r="S69" s="5">
        <f t="shared" si="32"/>
        <v>5.6236941590095714E-2</v>
      </c>
      <c r="T69" s="5">
        <f t="shared" si="32"/>
        <v>0.10087094252431608</v>
      </c>
      <c r="U69" s="5">
        <f t="shared" si="32"/>
        <v>0.17886947792312191</v>
      </c>
      <c r="V69" s="5">
        <f t="shared" si="32"/>
        <v>0.31326186090746971</v>
      </c>
      <c r="W69" s="5">
        <f t="shared" si="32"/>
        <v>0.54170629378491864</v>
      </c>
      <c r="X69" s="5">
        <f t="shared" si="32"/>
        <v>0.92502533189527725</v>
      </c>
      <c r="Y69" s="5">
        <f t="shared" si="32"/>
        <v>1.5603055610278243</v>
      </c>
      <c r="Z69" s="5">
        <f t="shared" si="32"/>
        <v>2.6007924039175889</v>
      </c>
      <c r="AA69" s="5">
        <f t="shared" si="32"/>
        <v>4.2858045916943981</v>
      </c>
      <c r="AB69" s="5">
        <f t="shared" si="32"/>
        <v>6.9852882174323954</v>
      </c>
      <c r="AD69" s="3" t="s">
        <v>45</v>
      </c>
      <c r="AE69" s="3">
        <f>'Drag Rise'!C15</f>
        <v>0.308</v>
      </c>
    </row>
    <row r="70" spans="2:31" ht="15.75" thickBot="1" x14ac:dyDescent="0.3">
      <c r="B70" s="28">
        <v>0.65</v>
      </c>
      <c r="C70" s="25">
        <f t="shared" si="29"/>
        <v>0.7955088120846564</v>
      </c>
      <c r="D70" s="5">
        <f t="shared" ref="D70:AB70" si="33">IF((D$26-$C70)&lt;-0.3,0,($AE$70*((D54+$AE$72)/$AE$71)^$AE$66+$AE$68*(D54+$AE$69)^$AE$67))</f>
        <v>0</v>
      </c>
      <c r="E70" s="5">
        <f t="shared" si="33"/>
        <v>2.9645465629855099E-7</v>
      </c>
      <c r="F70" s="5">
        <f t="shared" si="33"/>
        <v>7.2151469491455405E-5</v>
      </c>
      <c r="G70" s="5">
        <f t="shared" si="33"/>
        <v>3.5420256313637767E-4</v>
      </c>
      <c r="H70" s="5">
        <f t="shared" si="33"/>
        <v>6.3848119282434491E-4</v>
      </c>
      <c r="I70" s="5">
        <f t="shared" si="33"/>
        <v>7.4624516758563404E-4</v>
      </c>
      <c r="J70" s="5">
        <f t="shared" si="33"/>
        <v>9.1402328873667967E-4</v>
      </c>
      <c r="K70" s="5">
        <f t="shared" si="33"/>
        <v>1.2014036388201578E-3</v>
      </c>
      <c r="L70" s="5">
        <f t="shared" si="33"/>
        <v>1.724651603722562E-3</v>
      </c>
      <c r="M70" s="5">
        <f t="shared" si="33"/>
        <v>2.7055982478165585E-3</v>
      </c>
      <c r="N70" s="5">
        <f t="shared" si="33"/>
        <v>4.5586798942600535E-3</v>
      </c>
      <c r="O70" s="5">
        <f t="shared" si="33"/>
        <v>8.0430153933032083E-3</v>
      </c>
      <c r="P70" s="5">
        <f t="shared" si="33"/>
        <v>1.4523477972141203E-2</v>
      </c>
      <c r="Q70" s="5">
        <f t="shared" si="33"/>
        <v>2.6411523606284591E-2</v>
      </c>
      <c r="R70" s="5">
        <f t="shared" si="33"/>
        <v>4.7898044767076972E-2</v>
      </c>
      <c r="S70" s="5">
        <f t="shared" si="33"/>
        <v>8.6153951710795248E-2</v>
      </c>
      <c r="T70" s="5">
        <f t="shared" si="33"/>
        <v>0.15326993328297442</v>
      </c>
      <c r="U70" s="5">
        <f t="shared" si="33"/>
        <v>0.26934970074269537</v>
      </c>
      <c r="V70" s="5">
        <f t="shared" si="33"/>
        <v>0.46738180153935105</v>
      </c>
      <c r="W70" s="5">
        <f t="shared" si="33"/>
        <v>0.80082287579187383</v>
      </c>
      <c r="X70" s="5">
        <f t="shared" si="33"/>
        <v>1.3552702256232012</v>
      </c>
      <c r="Y70" s="5">
        <f t="shared" si="33"/>
        <v>2.2662389224652588</v>
      </c>
      <c r="Z70" s="5">
        <f t="shared" si="33"/>
        <v>3.7459634146969161</v>
      </c>
      <c r="AA70" s="5">
        <f t="shared" si="33"/>
        <v>6.1234170083352764</v>
      </c>
      <c r="AB70" s="5">
        <f t="shared" si="33"/>
        <v>9.9035204368452643</v>
      </c>
      <c r="AD70" s="3" t="s">
        <v>46</v>
      </c>
      <c r="AE70" s="3">
        <f>'Drag Rise'!C16</f>
        <v>0.04</v>
      </c>
    </row>
    <row r="71" spans="2:31" ht="15.75" thickBot="1" x14ac:dyDescent="0.3">
      <c r="B71" s="28">
        <v>0.7</v>
      </c>
      <c r="C71" s="25">
        <f t="shared" si="29"/>
        <v>0.7882262947125338</v>
      </c>
      <c r="D71" s="5">
        <f t="shared" ref="D71:AB71" si="34">IF((D$26-$C71)&lt;-0.3,0,($AE$70*((D55+$AE$72)/$AE$71)^$AE$66+$AE$68*(D55+$AE$69)^$AE$67))</f>
        <v>0</v>
      </c>
      <c r="E71" s="5">
        <f t="shared" si="34"/>
        <v>9.3469315865698277E-7</v>
      </c>
      <c r="F71" s="5">
        <f t="shared" si="34"/>
        <v>8.4401981009272386E-5</v>
      </c>
      <c r="G71" s="5">
        <f t="shared" si="34"/>
        <v>3.8570642456440494E-4</v>
      </c>
      <c r="H71" s="5">
        <f t="shared" si="34"/>
        <v>7.1265884650677637E-4</v>
      </c>
      <c r="I71" s="5">
        <f t="shared" si="34"/>
        <v>8.5983889632084321E-4</v>
      </c>
      <c r="J71" s="5">
        <f t="shared" si="34"/>
        <v>1.1062491845881108E-3</v>
      </c>
      <c r="K71" s="5">
        <f t="shared" si="34"/>
        <v>1.5490638944483141E-3</v>
      </c>
      <c r="L71" s="5">
        <f t="shared" si="34"/>
        <v>2.3747944880247174E-3</v>
      </c>
      <c r="M71" s="5">
        <f t="shared" si="34"/>
        <v>3.9338437631564332E-3</v>
      </c>
      <c r="N71" s="5">
        <f t="shared" si="34"/>
        <v>6.8714193786195733E-3</v>
      </c>
      <c r="O71" s="5">
        <f t="shared" si="34"/>
        <v>1.2353327498087799E-2</v>
      </c>
      <c r="P71" s="5">
        <f t="shared" si="34"/>
        <v>2.2448912512349734E-2</v>
      </c>
      <c r="Q71" s="5">
        <f t="shared" si="34"/>
        <v>4.0770314519564553E-2</v>
      </c>
      <c r="R71" s="5">
        <f t="shared" si="34"/>
        <v>7.3523815081834434E-2</v>
      </c>
      <c r="S71" s="5">
        <f t="shared" si="34"/>
        <v>0.13121475700858262</v>
      </c>
      <c r="T71" s="5">
        <f t="shared" si="34"/>
        <v>0.23137580281303394</v>
      </c>
      <c r="U71" s="5">
        <f t="shared" si="34"/>
        <v>0.40287813473230238</v>
      </c>
      <c r="V71" s="5">
        <f t="shared" si="34"/>
        <v>0.6926631739001281</v>
      </c>
      <c r="W71" s="5">
        <f t="shared" si="34"/>
        <v>1.1761353556047511</v>
      </c>
      <c r="X71" s="5">
        <f t="shared" si="34"/>
        <v>1.9730350924077773</v>
      </c>
      <c r="Y71" s="5">
        <f t="shared" si="34"/>
        <v>3.2714343446464813</v>
      </c>
      <c r="Z71" s="5">
        <f t="shared" si="34"/>
        <v>5.3636586234894725</v>
      </c>
      <c r="AA71" s="5">
        <f t="shared" si="34"/>
        <v>8.6995642363709926</v>
      </c>
      <c r="AB71" s="5">
        <f t="shared" si="34"/>
        <v>13.96485545003137</v>
      </c>
      <c r="AD71" s="3" t="s">
        <v>47</v>
      </c>
      <c r="AE71" s="3">
        <f>'Drag Rise'!C17</f>
        <v>0.36</v>
      </c>
    </row>
    <row r="72" spans="2:31" ht="15.75" thickBot="1" x14ac:dyDescent="0.3">
      <c r="B72" s="28">
        <v>0.75</v>
      </c>
      <c r="C72" s="25">
        <f t="shared" si="29"/>
        <v>0.78094377734041132</v>
      </c>
      <c r="D72" s="5">
        <f t="shared" ref="D72:AB72" si="35">IF((D$26-$C72)&lt;-0.3,0,($AE$70*((D56+$AE$72)/$AE$71)^$AE$66+$AE$68*(D56+$AE$69)^$AE$67))</f>
        <v>0</v>
      </c>
      <c r="E72" s="5">
        <f t="shared" si="35"/>
        <v>2.0469952369772288E-6</v>
      </c>
      <c r="F72" s="5">
        <f t="shared" si="35"/>
        <v>9.7822507430893947E-5</v>
      </c>
      <c r="G72" s="5">
        <f t="shared" si="35"/>
        <v>4.1919995621822167E-4</v>
      </c>
      <c r="H72" s="5">
        <f t="shared" si="35"/>
        <v>8.1272399778967532E-4</v>
      </c>
      <c r="I72" s="5">
        <f t="shared" si="35"/>
        <v>1.0251129186144999E-3</v>
      </c>
      <c r="J72" s="5">
        <f t="shared" si="35"/>
        <v>1.4008596347124388E-3</v>
      </c>
      <c r="K72" s="5">
        <f t="shared" si="35"/>
        <v>2.0965320060186165E-3</v>
      </c>
      <c r="L72" s="5">
        <f t="shared" si="35"/>
        <v>3.4079536524203257E-3</v>
      </c>
      <c r="M72" s="5">
        <f t="shared" si="35"/>
        <v>5.8827499444416634E-3</v>
      </c>
      <c r="N72" s="5">
        <f t="shared" si="35"/>
        <v>1.0515388102161719E-2</v>
      </c>
      <c r="O72" s="5">
        <f t="shared" si="35"/>
        <v>1.9079441691617675E-2</v>
      </c>
      <c r="P72" s="5">
        <f t="shared" si="35"/>
        <v>3.4684592049016416E-2</v>
      </c>
      <c r="Q72" s="5">
        <f t="shared" si="35"/>
        <v>6.2696333019691908E-2</v>
      </c>
      <c r="R72" s="5">
        <f t="shared" si="35"/>
        <v>0.11223301049574178</v>
      </c>
      <c r="S72" s="5">
        <f t="shared" si="35"/>
        <v>0.19856992579594765</v>
      </c>
      <c r="T72" s="5">
        <f t="shared" si="35"/>
        <v>0.34695107244249357</v>
      </c>
      <c r="U72" s="5">
        <f t="shared" si="35"/>
        <v>0.59855994064387807</v>
      </c>
      <c r="V72" s="5">
        <f t="shared" si="35"/>
        <v>1.0197654594685983</v>
      </c>
      <c r="W72" s="5">
        <f t="shared" si="35"/>
        <v>1.7162840473936836</v>
      </c>
      <c r="X72" s="5">
        <f t="shared" si="35"/>
        <v>2.8546474359362004</v>
      </c>
      <c r="Y72" s="5">
        <f t="shared" si="35"/>
        <v>4.6944245414609069</v>
      </c>
      <c r="Z72" s="5">
        <f t="shared" si="35"/>
        <v>7.6361300704150015</v>
      </c>
      <c r="AA72" s="5">
        <f t="shared" si="35"/>
        <v>12.291817573607615</v>
      </c>
      <c r="AB72" s="5">
        <f t="shared" si="35"/>
        <v>19.58820575560862</v>
      </c>
      <c r="AD72" s="3" t="s">
        <v>48</v>
      </c>
      <c r="AE72" s="3">
        <f>'Drag Rise'!C18</f>
        <v>0.308</v>
      </c>
    </row>
    <row r="73" spans="2:31" ht="15.75" thickBot="1" x14ac:dyDescent="0.3">
      <c r="B73" s="29">
        <v>0.8</v>
      </c>
      <c r="C73" s="30">
        <f t="shared" si="29"/>
        <v>0.77366125996828872</v>
      </c>
      <c r="D73" s="5">
        <f t="shared" ref="D73:AB73" si="36">IF((D$26-$C73)&lt;-0.3,0,($AE$70*((D57+$AE$72)/$AE$71)^$AE$66+$AE$68*(D57+$AE$69)^$AE$67))</f>
        <v>0</v>
      </c>
      <c r="E73" s="5">
        <f t="shared" si="36"/>
        <v>3.7145808117253892E-6</v>
      </c>
      <c r="F73" s="5">
        <f t="shared" si="36"/>
        <v>1.1244810917824226E-4</v>
      </c>
      <c r="G73" s="5">
        <f t="shared" si="36"/>
        <v>4.5507958337412852E-4</v>
      </c>
      <c r="H73" s="5">
        <f t="shared" si="36"/>
        <v>9.556301121079211E-4</v>
      </c>
      <c r="I73" s="5">
        <f t="shared" si="36"/>
        <v>1.2755221375272355E-3</v>
      </c>
      <c r="J73" s="5">
        <f t="shared" si="36"/>
        <v>1.8623648121365844E-3</v>
      </c>
      <c r="K73" s="5">
        <f t="shared" si="36"/>
        <v>2.9655272213988527E-3</v>
      </c>
      <c r="L73" s="5">
        <f t="shared" si="36"/>
        <v>5.0491522236846623E-3</v>
      </c>
      <c r="M73" s="5">
        <f t="shared" si="36"/>
        <v>8.9604189688623215E-3</v>
      </c>
      <c r="N73" s="5">
        <f t="shared" si="36"/>
        <v>1.6217495932898975E-2</v>
      </c>
      <c r="O73" s="5">
        <f t="shared" si="36"/>
        <v>2.9494328019145654E-2</v>
      </c>
      <c r="P73" s="5">
        <f t="shared" si="36"/>
        <v>5.3424334891692835E-2</v>
      </c>
      <c r="Q73" s="5">
        <f t="shared" si="36"/>
        <v>9.5913607228683265E-2</v>
      </c>
      <c r="R73" s="5">
        <f t="shared" si="36"/>
        <v>0.1702573715159828</v>
      </c>
      <c r="S73" s="5">
        <f t="shared" si="36"/>
        <v>0.29850711579412054</v>
      </c>
      <c r="T73" s="5">
        <f t="shared" si="36"/>
        <v>0.51676199713245963</v>
      </c>
      <c r="U73" s="5">
        <f t="shared" si="36"/>
        <v>0.88338787283430353</v>
      </c>
      <c r="V73" s="5">
        <f t="shared" si="36"/>
        <v>1.4916431638674561</v>
      </c>
      <c r="W73" s="5">
        <f t="shared" si="36"/>
        <v>2.4888711787153368</v>
      </c>
      <c r="X73" s="5">
        <f t="shared" si="36"/>
        <v>4.1053828466869335</v>
      </c>
      <c r="Y73" s="5">
        <f t="shared" si="36"/>
        <v>6.6975090122895145</v>
      </c>
      <c r="Z73" s="5">
        <f t="shared" si="36"/>
        <v>10.811190724993306</v>
      </c>
      <c r="AA73" s="5">
        <f t="shared" si="36"/>
        <v>17.275089684732386</v>
      </c>
      <c r="AB73" s="5">
        <f t="shared" si="36"/>
        <v>27.335790578890435</v>
      </c>
    </row>
    <row r="74" spans="2:31" ht="15.75" thickBot="1" x14ac:dyDescent="0.3"/>
    <row r="75" spans="2:31" ht="15.75" thickBot="1" x14ac:dyDescent="0.3">
      <c r="B75" s="6"/>
      <c r="C75" s="6"/>
      <c r="D75" s="10"/>
      <c r="E75" s="40" t="s">
        <v>2</v>
      </c>
      <c r="F75" s="40"/>
      <c r="G75" s="40"/>
      <c r="H75" s="40"/>
      <c r="I75" s="40"/>
      <c r="J75" s="40"/>
      <c r="K75" s="40"/>
      <c r="L75" s="40"/>
      <c r="M75" s="40"/>
      <c r="N75" s="40"/>
      <c r="O75" s="40"/>
      <c r="P75" s="40"/>
      <c r="Q75" s="40"/>
      <c r="R75" s="40"/>
      <c r="S75" s="40"/>
      <c r="T75" s="40"/>
      <c r="U75" s="40"/>
      <c r="V75" s="40"/>
      <c r="W75" s="11"/>
      <c r="X75" s="11"/>
      <c r="Y75" s="11"/>
      <c r="Z75" s="11"/>
      <c r="AA75" s="11"/>
      <c r="AB75" s="12"/>
    </row>
    <row r="76" spans="2:31" ht="18" x14ac:dyDescent="0.35">
      <c r="B76" s="31" t="s">
        <v>8</v>
      </c>
      <c r="C76" s="32" t="s">
        <v>41</v>
      </c>
      <c r="D76" s="33">
        <v>0</v>
      </c>
      <c r="E76" s="34">
        <v>0.5</v>
      </c>
      <c r="F76" s="34">
        <v>0.6</v>
      </c>
      <c r="G76" s="34">
        <v>0.7</v>
      </c>
      <c r="H76" s="34">
        <v>0.75</v>
      </c>
      <c r="I76" s="34">
        <v>0.76</v>
      </c>
      <c r="J76" s="34">
        <v>0.77</v>
      </c>
      <c r="K76" s="34">
        <v>0.78</v>
      </c>
      <c r="L76" s="34">
        <v>0.79</v>
      </c>
      <c r="M76" s="34">
        <v>0.8</v>
      </c>
      <c r="N76" s="34">
        <v>0.81</v>
      </c>
      <c r="O76" s="34">
        <v>0.82</v>
      </c>
      <c r="P76" s="34">
        <v>0.83</v>
      </c>
      <c r="Q76" s="34">
        <v>0.84</v>
      </c>
      <c r="R76" s="34">
        <v>0.85</v>
      </c>
      <c r="S76" s="34">
        <v>0.86</v>
      </c>
      <c r="T76" s="34">
        <v>0.87</v>
      </c>
      <c r="U76" s="34">
        <v>0.88</v>
      </c>
      <c r="V76" s="34">
        <v>0.89</v>
      </c>
      <c r="W76" s="34">
        <v>0.9</v>
      </c>
      <c r="X76" s="34">
        <v>0.91</v>
      </c>
      <c r="Y76" s="34">
        <v>0.92</v>
      </c>
      <c r="Z76" s="34">
        <v>0.93</v>
      </c>
      <c r="AA76" s="34">
        <v>0.94</v>
      </c>
      <c r="AB76" s="35">
        <v>0.95</v>
      </c>
    </row>
    <row r="77" spans="2:31" x14ac:dyDescent="0.25">
      <c r="B77" s="28">
        <v>0</v>
      </c>
      <c r="C77" s="25">
        <f t="shared" ref="C77:C84" si="37">C27</f>
        <v>0.89018153792224997</v>
      </c>
      <c r="D77" s="3">
        <f t="shared" ref="D77:AB77" si="38">CD0 +$B77^2/(PI()*AR*e) + D59</f>
        <v>1.4999999999999999E-2</v>
      </c>
      <c r="E77" s="3">
        <f t="shared" si="38"/>
        <v>1.4999999999999999E-2</v>
      </c>
      <c r="F77" s="3">
        <f t="shared" si="38"/>
        <v>1.5000720484204673E-2</v>
      </c>
      <c r="G77" s="3">
        <f t="shared" si="38"/>
        <v>1.5080999492825294E-2</v>
      </c>
      <c r="H77" s="3">
        <f t="shared" si="38"/>
        <v>1.5196133953763593E-2</v>
      </c>
      <c r="I77" s="3">
        <f t="shared" si="38"/>
        <v>1.5226675727683167E-2</v>
      </c>
      <c r="J77" s="3">
        <f t="shared" si="38"/>
        <v>1.5259917325780343E-2</v>
      </c>
      <c r="K77" s="3">
        <f t="shared" si="38"/>
        <v>1.529595632894567E-2</v>
      </c>
      <c r="L77" s="3">
        <f t="shared" si="38"/>
        <v>1.5334927858612957E-2</v>
      </c>
      <c r="M77" s="3">
        <f t="shared" si="38"/>
        <v>1.5377064346920283E-2</v>
      </c>
      <c r="N77" s="3">
        <f t="shared" si="38"/>
        <v>1.542283453436274E-2</v>
      </c>
      <c r="O77" s="3">
        <f t="shared" si="38"/>
        <v>1.5473254500126293E-2</v>
      </c>
      <c r="P77" s="3">
        <f t="shared" si="38"/>
        <v>1.5530559262329624E-2</v>
      </c>
      <c r="Q77" s="3">
        <f t="shared" si="38"/>
        <v>1.5599606106474949E-2</v>
      </c>
      <c r="R77" s="3">
        <f t="shared" si="38"/>
        <v>1.5690719547706362E-2</v>
      </c>
      <c r="S77" s="3">
        <f t="shared" si="38"/>
        <v>1.5825300224373662E-2</v>
      </c>
      <c r="T77" s="3">
        <f t="shared" si="38"/>
        <v>1.6046601186958352E-2</v>
      </c>
      <c r="U77" s="3">
        <f t="shared" si="38"/>
        <v>1.6439942488795222E-2</v>
      </c>
      <c r="V77" s="3">
        <f t="shared" si="38"/>
        <v>1.716979573587233E-2</v>
      </c>
      <c r="W77" s="3">
        <f t="shared" si="38"/>
        <v>1.8546420087932912E-2</v>
      </c>
      <c r="X77" s="3">
        <f t="shared" si="38"/>
        <v>2.1143299093708323E-2</v>
      </c>
      <c r="Y77" s="3">
        <f t="shared" si="38"/>
        <v>2.6000383372823125E-2</v>
      </c>
      <c r="Z77" s="3">
        <f t="shared" si="38"/>
        <v>3.4969892319630838E-2</v>
      </c>
      <c r="AA77" s="3">
        <f t="shared" si="38"/>
        <v>5.1295321404147998E-2</v>
      </c>
      <c r="AB77" s="13">
        <f t="shared" si="38"/>
        <v>8.0566413414038737E-2</v>
      </c>
    </row>
    <row r="78" spans="2:31" x14ac:dyDescent="0.25">
      <c r="B78" s="28">
        <v>0.1</v>
      </c>
      <c r="C78" s="25">
        <f t="shared" si="37"/>
        <v>0.87561650317800477</v>
      </c>
      <c r="D78" s="3">
        <f t="shared" ref="D78:AB78" si="39">CD0 +$B78^2/(PI()*AR*e) + D60</f>
        <v>1.5531908303701002E-2</v>
      </c>
      <c r="E78" s="3">
        <f t="shared" si="39"/>
        <v>1.5531908303701002E-2</v>
      </c>
      <c r="F78" s="3">
        <f t="shared" si="39"/>
        <v>1.5535116480385806E-2</v>
      </c>
      <c r="G78" s="3">
        <f t="shared" si="39"/>
        <v>1.5640309378171527E-2</v>
      </c>
      <c r="H78" s="3">
        <f t="shared" si="39"/>
        <v>1.5773418612158238E-2</v>
      </c>
      <c r="I78" s="3">
        <f t="shared" si="39"/>
        <v>1.5807923706225656E-2</v>
      </c>
      <c r="J78" s="3">
        <f t="shared" si="39"/>
        <v>1.5845280793273193E-2</v>
      </c>
      <c r="K78" s="3">
        <f t="shared" si="39"/>
        <v>1.5885658653030689E-2</v>
      </c>
      <c r="L78" s="3">
        <f t="shared" si="39"/>
        <v>1.5929372939147937E-2</v>
      </c>
      <c r="M78" s="3">
        <f t="shared" si="39"/>
        <v>1.5977087872900451E-2</v>
      </c>
      <c r="N78" s="3">
        <f t="shared" si="39"/>
        <v>1.6030260118526683E-2</v>
      </c>
      <c r="O78" s="3">
        <f t="shared" si="39"/>
        <v>1.6092082653832197E-2</v>
      </c>
      <c r="P78" s="3">
        <f t="shared" si="39"/>
        <v>1.6169429383936996E-2</v>
      </c>
      <c r="Q78" s="3">
        <f t="shared" si="39"/>
        <v>1.6276746489610909E-2</v>
      </c>
      <c r="R78" s="3">
        <f t="shared" si="39"/>
        <v>1.6443632570588083E-2</v>
      </c>
      <c r="S78" s="3">
        <f t="shared" si="39"/>
        <v>1.6729240818641519E-2</v>
      </c>
      <c r="T78" s="3">
        <f t="shared" si="39"/>
        <v>1.7249016756101968E-2</v>
      </c>
      <c r="U78" s="3">
        <f t="shared" si="39"/>
        <v>1.8223278668883347E-2</v>
      </c>
      <c r="V78" s="3">
        <f t="shared" si="39"/>
        <v>2.0063727037171984E-2</v>
      </c>
      <c r="W78" s="3">
        <f t="shared" si="39"/>
        <v>2.3524625136912378E-2</v>
      </c>
      <c r="X78" s="3">
        <f t="shared" si="39"/>
        <v>2.996237929642178E-2</v>
      </c>
      <c r="Y78" s="3">
        <f t="shared" si="39"/>
        <v>4.1773924423278166E-2</v>
      </c>
      <c r="Z78" s="3">
        <f t="shared" si="39"/>
        <v>6.3125635285136136E-2</v>
      </c>
      <c r="AA78" s="3">
        <f t="shared" si="39"/>
        <v>0.10114763251483218</v>
      </c>
      <c r="AB78" s="13">
        <f t="shared" si="39"/>
        <v>0.16786368453306791</v>
      </c>
    </row>
    <row r="79" spans="2:31" x14ac:dyDescent="0.25">
      <c r="B79" s="28">
        <v>0.2</v>
      </c>
      <c r="C79" s="25">
        <f t="shared" si="37"/>
        <v>0.86105146843375968</v>
      </c>
      <c r="D79" s="3">
        <f t="shared" ref="D79:AB80" si="40">CD0 +$B79^2/(PI()*AR*e) + D61</f>
        <v>1.7127633214804008E-2</v>
      </c>
      <c r="E79" s="3">
        <f t="shared" si="40"/>
        <v>1.7127633214804008E-2</v>
      </c>
      <c r="F79" s="3">
        <f t="shared" si="40"/>
        <v>1.7135752241217224E-2</v>
      </c>
      <c r="G79" s="3">
        <f t="shared" si="40"/>
        <v>1.7268355340589816E-2</v>
      </c>
      <c r="H79" s="3">
        <f t="shared" si="40"/>
        <v>1.7420340311635987E-2</v>
      </c>
      <c r="I79" s="3">
        <f t="shared" si="40"/>
        <v>1.7459049541284011E-2</v>
      </c>
      <c r="J79" s="3">
        <f t="shared" si="40"/>
        <v>1.7500896946912439E-2</v>
      </c>
      <c r="K79" s="3">
        <f t="shared" si="40"/>
        <v>1.7546321768025206E-2</v>
      </c>
      <c r="L79" s="3">
        <f t="shared" si="40"/>
        <v>1.7596272852256969E-2</v>
      </c>
      <c r="M79" s="3">
        <f t="shared" si="40"/>
        <v>1.7652837599007976E-2</v>
      </c>
      <c r="N79" s="3">
        <f t="shared" si="40"/>
        <v>1.7720559773894112E-2</v>
      </c>
      <c r="O79" s="3">
        <f t="shared" si="40"/>
        <v>1.7809117886695966E-2</v>
      </c>
      <c r="P79" s="3">
        <f t="shared" si="40"/>
        <v>1.7938618035235786E-2</v>
      </c>
      <c r="Q79" s="3">
        <f t="shared" si="40"/>
        <v>1.8149785042287231E-2</v>
      </c>
      <c r="R79" s="3">
        <f t="shared" si="40"/>
        <v>1.8523117920807054E-2</v>
      </c>
      <c r="S79" s="3">
        <f t="shared" si="40"/>
        <v>1.9214097339676085E-2</v>
      </c>
      <c r="T79" s="3">
        <f t="shared" si="40"/>
        <v>2.0516559506730765E-2</v>
      </c>
      <c r="U79" s="3">
        <f t="shared" si="40"/>
        <v>2.2974566835649655E-2</v>
      </c>
      <c r="V79" s="3">
        <f t="shared" si="40"/>
        <v>2.7576314615140318E-2</v>
      </c>
      <c r="W79" s="3">
        <f t="shared" si="40"/>
        <v>3.6084523661867964E-2</v>
      </c>
      <c r="X79" s="3">
        <f t="shared" si="40"/>
        <v>5.159039694998413E-2</v>
      </c>
      <c r="Y79" s="3">
        <f t="shared" si="40"/>
        <v>7.9428441824250198E-2</v>
      </c>
      <c r="Z79" s="3">
        <f t="shared" si="40"/>
        <v>0.12866578484713165</v>
      </c>
      <c r="AA79" s="3">
        <f t="shared" si="40"/>
        <v>0.21449420842117753</v>
      </c>
      <c r="AB79" s="13">
        <f t="shared" si="40"/>
        <v>0.36202326368928595</v>
      </c>
    </row>
    <row r="80" spans="2:31" x14ac:dyDescent="0.25">
      <c r="B80" s="28">
        <v>0.25</v>
      </c>
      <c r="C80" s="25">
        <f t="shared" si="37"/>
        <v>0.85376895106163708</v>
      </c>
      <c r="D80" s="3">
        <f t="shared" si="40"/>
        <v>1.8324426898131262E-2</v>
      </c>
      <c r="E80" s="3">
        <f t="shared" si="40"/>
        <v>1.8324426898131262E-2</v>
      </c>
      <c r="F80" s="3">
        <f t="shared" si="40"/>
        <v>1.8336070006320773E-2</v>
      </c>
      <c r="G80" s="3">
        <f t="shared" si="40"/>
        <v>1.8483237438396249E-2</v>
      </c>
      <c r="H80" s="3">
        <f t="shared" si="40"/>
        <v>1.8645025272589742E-2</v>
      </c>
      <c r="I80" s="3">
        <f t="shared" si="40"/>
        <v>1.8685989095480911E-2</v>
      </c>
      <c r="J80" s="3">
        <f t="shared" si="40"/>
        <v>1.8730376938359099E-2</v>
      </c>
      <c r="K80" s="3">
        <f t="shared" si="40"/>
        <v>1.8778955644714917E-2</v>
      </c>
      <c r="L80" s="3">
        <f t="shared" si="40"/>
        <v>1.8833410506667633E-2</v>
      </c>
      <c r="M80" s="3">
        <f t="shared" si="40"/>
        <v>1.8897426478484421E-2</v>
      </c>
      <c r="N80" s="3">
        <f t="shared" si="40"/>
        <v>1.8978903396191994E-2</v>
      </c>
      <c r="O80" s="3">
        <f t="shared" si="40"/>
        <v>1.909436613809215E-2</v>
      </c>
      <c r="P80" s="3">
        <f t="shared" si="40"/>
        <v>1.9277514687072929E-2</v>
      </c>
      <c r="Q80" s="3">
        <f t="shared" si="40"/>
        <v>1.9595397729116969E-2</v>
      </c>
      <c r="R80" s="3">
        <f t="shared" si="40"/>
        <v>2.0178316283282968E-2</v>
      </c>
      <c r="S80" s="3">
        <f t="shared" si="40"/>
        <v>2.1273949168542392E-2</v>
      </c>
      <c r="T80" s="3">
        <f t="shared" si="40"/>
        <v>2.334339329656554E-2</v>
      </c>
      <c r="U80" s="3">
        <f t="shared" si="40"/>
        <v>2.7228439921775212E-2</v>
      </c>
      <c r="V80" s="3">
        <f t="shared" si="40"/>
        <v>3.4437891872593718E-2</v>
      </c>
      <c r="W80" s="3">
        <f t="shared" si="40"/>
        <v>4.7629679062001065E-2</v>
      </c>
      <c r="X80" s="3">
        <f t="shared" si="40"/>
        <v>7.141025645200999E-2</v>
      </c>
      <c r="Y80" s="3">
        <f t="shared" si="40"/>
        <v>0.11364097222283984</v>
      </c>
      <c r="Z80" s="3">
        <f t="shared" si="40"/>
        <v>0.18754383019816287</v>
      </c>
      <c r="AA80" s="3">
        <f t="shared" si="40"/>
        <v>0.31505204444340529</v>
      </c>
      <c r="AB80" s="13">
        <f t="shared" si="40"/>
        <v>0.5320760839574199</v>
      </c>
    </row>
    <row r="81" spans="2:28" x14ac:dyDescent="0.25">
      <c r="B81" s="28">
        <v>0.3</v>
      </c>
      <c r="C81" s="25">
        <f t="shared" si="37"/>
        <v>0.84648643368951448</v>
      </c>
      <c r="D81" s="3">
        <f t="shared" ref="D81:AB81" si="41">CD0 +$B81^2/(PI()*AR*e) + D63</f>
        <v>1.9787174733309019E-2</v>
      </c>
      <c r="E81" s="3">
        <f t="shared" si="41"/>
        <v>1.9787174733309019E-2</v>
      </c>
      <c r="F81" s="3">
        <f t="shared" si="41"/>
        <v>1.9803128975753349E-2</v>
      </c>
      <c r="G81" s="3">
        <f t="shared" si="41"/>
        <v>1.996540176745747E-2</v>
      </c>
      <c r="H81" s="3">
        <f t="shared" si="41"/>
        <v>2.0137286121664166E-2</v>
      </c>
      <c r="I81" s="3">
        <f t="shared" si="41"/>
        <v>2.0180690903561394E-2</v>
      </c>
      <c r="J81" s="3">
        <f t="shared" si="41"/>
        <v>2.0228015919249134E-2</v>
      </c>
      <c r="K81" s="3">
        <f t="shared" si="41"/>
        <v>2.0280621141469016E-2</v>
      </c>
      <c r="L81" s="3">
        <f t="shared" si="41"/>
        <v>2.0341490530954472E-2</v>
      </c>
      <c r="M81" s="3">
        <f t="shared" si="41"/>
        <v>2.041706031194879E-2</v>
      </c>
      <c r="N81" s="3">
        <f t="shared" si="41"/>
        <v>2.0520886465753594E-2</v>
      </c>
      <c r="O81" s="3">
        <f t="shared" si="41"/>
        <v>2.0680804976351563E-2</v>
      </c>
      <c r="P81" s="3">
        <f t="shared" si="41"/>
        <v>2.0952564737515167E-2</v>
      </c>
      <c r="Q81" s="3">
        <f t="shared" si="41"/>
        <v>2.1445186494502007E-2</v>
      </c>
      <c r="R81" s="3">
        <f t="shared" si="41"/>
        <v>2.2367121837111283E-2</v>
      </c>
      <c r="S81" s="3">
        <f t="shared" si="41"/>
        <v>2.4108590191421954E-2</v>
      </c>
      <c r="T81" s="3">
        <f t="shared" si="41"/>
        <v>2.7385696490330482E-2</v>
      </c>
      <c r="U81" s="3">
        <f t="shared" si="41"/>
        <v>3.3488253138463125E-2</v>
      </c>
      <c r="V81" s="3">
        <f t="shared" si="41"/>
        <v>4.4698894317186377E-2</v>
      </c>
      <c r="W81" s="3">
        <f t="shared" si="41"/>
        <v>6.4990864191556613E-2</v>
      </c>
      <c r="X81" s="3">
        <f t="shared" si="41"/>
        <v>0.10117275144176577</v>
      </c>
      <c r="Y81" s="3">
        <f t="shared" si="41"/>
        <v>0.1647404630175473</v>
      </c>
      <c r="Z81" s="3">
        <f t="shared" si="41"/>
        <v>0.27483417054331083</v>
      </c>
      <c r="AA81" s="3">
        <f t="shared" si="41"/>
        <v>0.46290097566867183</v>
      </c>
      <c r="AB81" s="13">
        <f t="shared" si="41"/>
        <v>0.77996077565611777</v>
      </c>
    </row>
    <row r="82" spans="2:28" x14ac:dyDescent="0.25">
      <c r="B82" s="28">
        <v>0.35</v>
      </c>
      <c r="C82" s="25">
        <f t="shared" si="37"/>
        <v>0.83920391631739188</v>
      </c>
      <c r="D82" s="3">
        <f t="shared" ref="D82:AB82" si="42">CD0 +$B82^2/(PI()*AR*e) + D64</f>
        <v>2.1515876720337276E-2</v>
      </c>
      <c r="E82" s="3">
        <f t="shared" si="42"/>
        <v>2.1515876720337276E-2</v>
      </c>
      <c r="F82" s="3">
        <f t="shared" si="42"/>
        <v>2.1536980401244282E-2</v>
      </c>
      <c r="G82" s="3">
        <f t="shared" si="42"/>
        <v>2.1714879846344855E-2</v>
      </c>
      <c r="H82" s="3">
        <f t="shared" si="42"/>
        <v>2.1897244631979694E-2</v>
      </c>
      <c r="I82" s="3">
        <f t="shared" si="42"/>
        <v>2.1943411673924117E-2</v>
      </c>
      <c r="J82" s="3">
        <f t="shared" si="42"/>
        <v>2.1994377823495687E-2</v>
      </c>
      <c r="K82" s="3">
        <f t="shared" si="42"/>
        <v>2.2052556193142444E-2</v>
      </c>
      <c r="L82" s="3">
        <f t="shared" si="42"/>
        <v>2.2123181212564295E-2</v>
      </c>
      <c r="M82" s="3">
        <f t="shared" si="42"/>
        <v>2.2217352426453715E-2</v>
      </c>
      <c r="N82" s="3">
        <f t="shared" si="42"/>
        <v>2.2358019744464518E-2</v>
      </c>
      <c r="O82" s="3">
        <f t="shared" si="42"/>
        <v>2.259145502991973E-2</v>
      </c>
      <c r="P82" s="3">
        <f t="shared" si="42"/>
        <v>2.300872265546211E-2</v>
      </c>
      <c r="Q82" s="3">
        <f t="shared" si="42"/>
        <v>2.3784985831873148E-2</v>
      </c>
      <c r="R82" s="3">
        <f t="shared" si="42"/>
        <v>2.5249997021751791E-2</v>
      </c>
      <c r="S82" s="3">
        <f t="shared" si="42"/>
        <v>2.801210084224607E-2</v>
      </c>
      <c r="T82" s="3">
        <f t="shared" si="42"/>
        <v>3.317247301787226E-2</v>
      </c>
      <c r="U82" s="3">
        <f t="shared" si="42"/>
        <v>4.2689045303748563E-2</v>
      </c>
      <c r="V82" s="3">
        <f t="shared" si="42"/>
        <v>5.9984936074017989E-2</v>
      </c>
      <c r="W82" s="3">
        <f t="shared" si="42"/>
        <v>9.0950518535263911E-2</v>
      </c>
      <c r="X82" s="3">
        <f t="shared" si="42"/>
        <v>0.14557060943415245</v>
      </c>
      <c r="Y82" s="3">
        <f t="shared" si="42"/>
        <v>0.24053164445155661</v>
      </c>
      <c r="Z82" s="3">
        <f t="shared" si="42"/>
        <v>0.40334649504754466</v>
      </c>
      <c r="AA82" s="3">
        <f t="shared" si="42"/>
        <v>0.67880250453989122</v>
      </c>
      <c r="AB82" s="13">
        <f t="shared" si="42"/>
        <v>1.1389270821753772</v>
      </c>
    </row>
    <row r="83" spans="2:28" x14ac:dyDescent="0.25">
      <c r="B83" s="28">
        <v>0.4</v>
      </c>
      <c r="C83" s="25">
        <f t="shared" si="37"/>
        <v>0.83192139894526929</v>
      </c>
      <c r="D83" s="3">
        <f t="shared" ref="D83:AB83" si="43">CD0 +$B83^2/(PI()*AR*e) + D65</f>
        <v>2.3510532859216036E-2</v>
      </c>
      <c r="E83" s="3">
        <f t="shared" si="43"/>
        <v>2.3510532859216036E-2</v>
      </c>
      <c r="F83" s="3">
        <f t="shared" si="43"/>
        <v>2.3537672570089756E-2</v>
      </c>
      <c r="G83" s="3">
        <f t="shared" si="43"/>
        <v>2.3731703208586769E-2</v>
      </c>
      <c r="H83" s="3">
        <f t="shared" si="43"/>
        <v>2.3925109025849985E-2</v>
      </c>
      <c r="I83" s="3">
        <f t="shared" si="43"/>
        <v>2.3974606253391543E-2</v>
      </c>
      <c r="J83" s="3">
        <f t="shared" si="43"/>
        <v>2.4030463793346848E-2</v>
      </c>
      <c r="K83" s="3">
        <f t="shared" si="43"/>
        <v>2.4096931411828979E-2</v>
      </c>
      <c r="L83" s="3">
        <f t="shared" si="43"/>
        <v>2.418308029928682E-2</v>
      </c>
      <c r="M83" s="3">
        <f t="shared" si="43"/>
        <v>2.4307796692184205E-2</v>
      </c>
      <c r="N83" s="3">
        <f t="shared" si="43"/>
        <v>2.4509417875691806E-2</v>
      </c>
      <c r="O83" s="3">
        <f t="shared" si="43"/>
        <v>2.4863880940545362E-2</v>
      </c>
      <c r="P83" s="3">
        <f t="shared" si="43"/>
        <v>2.5518142898547341E-2</v>
      </c>
      <c r="Q83" s="3">
        <f t="shared" si="43"/>
        <v>2.6750443252437389E-2</v>
      </c>
      <c r="R83" s="3">
        <f t="shared" si="43"/>
        <v>2.907685759853371E-2</v>
      </c>
      <c r="S83" s="3">
        <f t="shared" si="43"/>
        <v>3.3436273168153147E-2</v>
      </c>
      <c r="T83" s="3">
        <f t="shared" si="43"/>
        <v>4.1506020620238976E-2</v>
      </c>
      <c r="U83" s="3">
        <f t="shared" si="43"/>
        <v>5.6231803033590488E-2</v>
      </c>
      <c r="V83" s="3">
        <f t="shared" si="43"/>
        <v>8.2703962235715606E-2</v>
      </c>
      <c r="W83" s="3">
        <f t="shared" si="43"/>
        <v>0.12958575514226647</v>
      </c>
      <c r="X83" s="3">
        <f t="shared" si="43"/>
        <v>0.21140998451641177</v>
      </c>
      <c r="Y83" s="3">
        <f t="shared" si="43"/>
        <v>0.35222477807522939</v>
      </c>
      <c r="Z83" s="3">
        <f t="shared" si="43"/>
        <v>0.59131103807270979</v>
      </c>
      <c r="AA83" s="3">
        <f t="shared" si="43"/>
        <v>0.99204578117499631</v>
      </c>
      <c r="AB83" s="13">
        <f t="shared" si="43"/>
        <v>1.6554923325412338</v>
      </c>
    </row>
    <row r="84" spans="2:28" x14ac:dyDescent="0.25">
      <c r="B84" s="28">
        <v>0.45</v>
      </c>
      <c r="C84" s="25">
        <f t="shared" si="37"/>
        <v>0.82463888157314669</v>
      </c>
      <c r="D84" s="3">
        <f t="shared" ref="D84:AB84" si="44">CD0 +$B84^2/(PI()*AR*e) + D66</f>
        <v>2.5771143149945292E-2</v>
      </c>
      <c r="E84" s="3">
        <f t="shared" si="44"/>
        <v>2.5771143149945292E-2</v>
      </c>
      <c r="F84" s="3">
        <f t="shared" si="44"/>
        <v>2.5805251267671827E-2</v>
      </c>
      <c r="G84" s="3">
        <f t="shared" si="44"/>
        <v>2.6015904289890014E-2</v>
      </c>
      <c r="H84" s="3">
        <f t="shared" si="44"/>
        <v>2.6221246310119007E-2</v>
      </c>
      <c r="I84" s="3">
        <f t="shared" si="44"/>
        <v>2.6275083323126888E-2</v>
      </c>
      <c r="J84" s="3">
        <f t="shared" si="44"/>
        <v>2.6338036497367441E-2</v>
      </c>
      <c r="K84" s="3">
        <f t="shared" si="44"/>
        <v>2.6417505583557557E-2</v>
      </c>
      <c r="L84" s="3">
        <f t="shared" si="44"/>
        <v>2.6529003531692571E-2</v>
      </c>
      <c r="M84" s="3">
        <f t="shared" si="44"/>
        <v>2.6704236150169161E-2</v>
      </c>
      <c r="N84" s="3">
        <f t="shared" si="44"/>
        <v>2.7006417494497059E-2</v>
      </c>
      <c r="O84" s="3">
        <f t="shared" si="44"/>
        <v>2.7558641229972636E-2</v>
      </c>
      <c r="P84" s="3">
        <f t="shared" si="44"/>
        <v>2.859532483464907E-2</v>
      </c>
      <c r="Q84" s="3">
        <f t="shared" si="44"/>
        <v>3.0553645306896516E-2</v>
      </c>
      <c r="R84" s="3">
        <f t="shared" si="44"/>
        <v>3.4233045550520994E-2</v>
      </c>
      <c r="S84" s="3">
        <f t="shared" si="44"/>
        <v>4.1068654702656957E-2</v>
      </c>
      <c r="T84" s="3">
        <f t="shared" si="44"/>
        <v>5.3592325114099774E-2</v>
      </c>
      <c r="U84" s="3">
        <f t="shared" si="44"/>
        <v>7.6198077648836848E-2</v>
      </c>
      <c r="V84" s="3">
        <f t="shared" si="44"/>
        <v>0.11639452524672832</v>
      </c>
      <c r="W84" s="3">
        <f t="shared" si="44"/>
        <v>0.18682603061031999</v>
      </c>
      <c r="X84" s="3">
        <f t="shared" si="44"/>
        <v>0.30849218610452905</v>
      </c>
      <c r="Y84" s="3">
        <f t="shared" si="44"/>
        <v>0.51581313340670853</v>
      </c>
      <c r="Z84" s="3">
        <f t="shared" si="44"/>
        <v>0.86450618002660151</v>
      </c>
      <c r="AA84" s="3">
        <f t="shared" si="44"/>
        <v>1.4436984626614839</v>
      </c>
      <c r="AB84" s="13">
        <f t="shared" si="44"/>
        <v>2.3943577139480303</v>
      </c>
    </row>
    <row r="85" spans="2:28" x14ac:dyDescent="0.25">
      <c r="B85" s="28">
        <v>0.5</v>
      </c>
      <c r="C85" s="25">
        <f t="shared" ref="C85:C91" si="45">C35</f>
        <v>0.8173563642010242</v>
      </c>
      <c r="D85" s="3">
        <f t="shared" ref="D85:AB85" si="46">CD0 +$B85^2/(PI()*AR*e) + D67</f>
        <v>2.8297707592525052E-2</v>
      </c>
      <c r="E85" s="3">
        <f t="shared" si="46"/>
        <v>2.8297707592525052E-2</v>
      </c>
      <c r="F85" s="3">
        <f t="shared" si="46"/>
        <v>2.8339760130753108E-2</v>
      </c>
      <c r="G85" s="3">
        <f t="shared" si="46"/>
        <v>2.8567518207773982E-2</v>
      </c>
      <c r="H85" s="3">
        <f t="shared" si="46"/>
        <v>2.8786309118412935E-2</v>
      </c>
      <c r="I85" s="3">
        <f t="shared" si="46"/>
        <v>2.8846271905129176E-2</v>
      </c>
      <c r="J85" s="3">
        <f t="shared" si="46"/>
        <v>2.8920163080462725E-2</v>
      </c>
      <c r="K85" s="3">
        <f t="shared" si="46"/>
        <v>2.9020700824436314E-2</v>
      </c>
      <c r="L85" s="3">
        <f t="shared" si="46"/>
        <v>2.9174058512802248E-2</v>
      </c>
      <c r="M85" s="3">
        <f t="shared" si="46"/>
        <v>2.9432767173585332E-2</v>
      </c>
      <c r="N85" s="3">
        <f t="shared" si="46"/>
        <v>2.9899762788813695E-2</v>
      </c>
      <c r="O85" s="3">
        <f t="shared" si="46"/>
        <v>3.0772237830933906E-2</v>
      </c>
      <c r="P85" s="3">
        <f t="shared" si="46"/>
        <v>3.2419995843392856E-2</v>
      </c>
      <c r="Q85" s="3">
        <f t="shared" si="46"/>
        <v>3.5522817727291038E-2</v>
      </c>
      <c r="R85" s="3">
        <f t="shared" si="46"/>
        <v>4.1307028242398153E-2</v>
      </c>
      <c r="S85" s="3">
        <f t="shared" si="46"/>
        <v>5.1946138778237061E-2</v>
      </c>
      <c r="T85" s="3">
        <f t="shared" si="46"/>
        <v>7.1228766803641361E-2</v>
      </c>
      <c r="U85" s="3">
        <f t="shared" si="46"/>
        <v>0.1056557408206369</v>
      </c>
      <c r="V85" s="3">
        <f t="shared" si="46"/>
        <v>0.16621711553086385</v>
      </c>
      <c r="W85" s="3">
        <f t="shared" si="46"/>
        <v>0.27123260824489026</v>
      </c>
      <c r="X85" s="3">
        <f t="shared" si="46"/>
        <v>0.45083529047345877</v>
      </c>
      <c r="Y85" s="3">
        <f t="shared" si="46"/>
        <v>0.75396558121839918</v>
      </c>
      <c r="Z85" s="3">
        <f t="shared" si="46"/>
        <v>1.2591585857062679</v>
      </c>
      <c r="AA85" s="3">
        <f t="shared" si="46"/>
        <v>2.0910046570477263</v>
      </c>
      <c r="AB85" s="13">
        <f t="shared" si="46"/>
        <v>3.4450116470935792</v>
      </c>
    </row>
    <row r="86" spans="2:28" x14ac:dyDescent="0.25">
      <c r="B86" s="28">
        <v>0.55000000000000004</v>
      </c>
      <c r="C86" s="25">
        <f t="shared" si="45"/>
        <v>0.8100738468289016</v>
      </c>
      <c r="D86" s="3">
        <f t="shared" ref="D86:AB86" si="47">CD0 +$B86^2/(PI()*AR*e) + D68</f>
        <v>3.1090226186955314E-2</v>
      </c>
      <c r="E86" s="3">
        <f t="shared" si="47"/>
        <v>3.1090226186955314E-2</v>
      </c>
      <c r="F86" s="3">
        <f t="shared" si="47"/>
        <v>3.114124092461688E-2</v>
      </c>
      <c r="G86" s="3">
        <f t="shared" si="47"/>
        <v>3.1386586284993807E-2</v>
      </c>
      <c r="H86" s="3">
        <f t="shared" si="47"/>
        <v>3.1621454213592658E-2</v>
      </c>
      <c r="I86" s="3">
        <f t="shared" si="47"/>
        <v>3.1690670147458216E-2</v>
      </c>
      <c r="J86" s="3">
        <f t="shared" si="47"/>
        <v>3.1782110541654945E-2</v>
      </c>
      <c r="K86" s="3">
        <f t="shared" si="47"/>
        <v>3.1917341693352627E-2</v>
      </c>
      <c r="L86" s="3">
        <f t="shared" si="47"/>
        <v>3.2139939795641975E-2</v>
      </c>
      <c r="M86" s="3">
        <f t="shared" si="47"/>
        <v>3.253584041081567E-2</v>
      </c>
      <c r="N86" s="3">
        <f t="shared" si="47"/>
        <v>3.3270661836823624E-2</v>
      </c>
      <c r="O86" s="3">
        <f t="shared" si="47"/>
        <v>3.4656755758274808E-2</v>
      </c>
      <c r="P86" s="3">
        <f t="shared" si="47"/>
        <v>3.7271350993049998E-2</v>
      </c>
      <c r="Q86" s="3">
        <f t="shared" si="47"/>
        <v>4.2160980906333634E-2</v>
      </c>
      <c r="R86" s="3">
        <f t="shared" si="47"/>
        <v>5.1189239030733906E-2</v>
      </c>
      <c r="S86" s="3">
        <f t="shared" si="47"/>
        <v>6.7618960609952608E-2</v>
      </c>
      <c r="T86" s="3">
        <f t="shared" si="47"/>
        <v>9.7072277825367134E-2</v>
      </c>
      <c r="U86" s="3">
        <f t="shared" si="47"/>
        <v>0.1490914572304663</v>
      </c>
      <c r="V86" s="3">
        <f t="shared" si="47"/>
        <v>0.2396426014736551</v>
      </c>
      <c r="W86" s="3">
        <f t="shared" si="47"/>
        <v>0.39508101814298568</v>
      </c>
      <c r="X86" s="3">
        <f t="shared" si="47"/>
        <v>0.65835632214703765</v>
      </c>
      <c r="Y86" s="3">
        <f t="shared" si="47"/>
        <v>1.0986118569031857</v>
      </c>
      <c r="Z86" s="3">
        <f t="shared" si="47"/>
        <v>1.8258745831458261</v>
      </c>
      <c r="AA86" s="3">
        <f t="shared" si="47"/>
        <v>3.0133034448348632</v>
      </c>
      <c r="AB86" s="13">
        <f t="shared" si="47"/>
        <v>4.9305547809447612</v>
      </c>
    </row>
    <row r="87" spans="2:28" x14ac:dyDescent="0.25">
      <c r="B87" s="28">
        <v>0.6</v>
      </c>
      <c r="C87" s="25">
        <f t="shared" si="45"/>
        <v>0.802791329456779</v>
      </c>
      <c r="D87" s="3">
        <f t="shared" ref="D87:AB87" si="48">CD0 +$B87^2/(PI()*AR*e) + D69</f>
        <v>3.4148698933236077E-2</v>
      </c>
      <c r="E87" s="3">
        <f t="shared" si="48"/>
        <v>3.4148698933236077E-2</v>
      </c>
      <c r="F87" s="3">
        <f t="shared" si="48"/>
        <v>3.4209733765262887E-2</v>
      </c>
      <c r="G87" s="3">
        <f t="shared" si="48"/>
        <v>3.447316288626058E-2</v>
      </c>
      <c r="H87" s="3">
        <f t="shared" si="48"/>
        <v>3.4728712645093938E-2</v>
      </c>
      <c r="I87" s="3">
        <f t="shared" si="48"/>
        <v>3.4812589510455835E-2</v>
      </c>
      <c r="J87" s="3">
        <f t="shared" si="48"/>
        <v>3.493280145552486E-2</v>
      </c>
      <c r="K87" s="3">
        <f t="shared" si="48"/>
        <v>3.5125431498824293E-2</v>
      </c>
      <c r="L87" s="3">
        <f t="shared" si="48"/>
        <v>3.5462100730707311E-2</v>
      </c>
      <c r="M87" s="3">
        <f t="shared" si="48"/>
        <v>3.6081686776766035E-2</v>
      </c>
      <c r="N87" s="3">
        <f t="shared" si="48"/>
        <v>3.7247619301592538E-2</v>
      </c>
      <c r="O87" s="3">
        <f t="shared" si="48"/>
        <v>3.9449355165914878E-2</v>
      </c>
      <c r="P87" s="3">
        <f t="shared" si="48"/>
        <v>4.3578811212023227E-2</v>
      </c>
      <c r="Q87" s="3">
        <f t="shared" si="48"/>
        <v>5.1231857747027619E-2</v>
      </c>
      <c r="R87" s="3">
        <f t="shared" si="48"/>
        <v>6.5215203649239273E-2</v>
      </c>
      <c r="S87" s="3">
        <f t="shared" si="48"/>
        <v>9.0385640523331784E-2</v>
      </c>
      <c r="T87" s="3">
        <f t="shared" si="48"/>
        <v>0.13501964145755216</v>
      </c>
      <c r="U87" s="3">
        <f t="shared" si="48"/>
        <v>0.21301817685635799</v>
      </c>
      <c r="V87" s="3">
        <f t="shared" si="48"/>
        <v>0.34741055984070579</v>
      </c>
      <c r="W87" s="3">
        <f t="shared" si="48"/>
        <v>0.57585499271815466</v>
      </c>
      <c r="X87" s="3">
        <f t="shared" si="48"/>
        <v>0.95917403082851327</v>
      </c>
      <c r="Y87" s="3">
        <f t="shared" si="48"/>
        <v>1.5944542599610603</v>
      </c>
      <c r="Z87" s="3">
        <f t="shared" si="48"/>
        <v>2.6349411028508252</v>
      </c>
      <c r="AA87" s="3">
        <f t="shared" si="48"/>
        <v>4.3199532906276339</v>
      </c>
      <c r="AB87" s="13">
        <f t="shared" si="48"/>
        <v>7.0194369163656312</v>
      </c>
    </row>
    <row r="88" spans="2:28" x14ac:dyDescent="0.25">
      <c r="B88" s="28">
        <v>0.65</v>
      </c>
      <c r="C88" s="25">
        <f t="shared" si="45"/>
        <v>0.7955088120846564</v>
      </c>
      <c r="D88" s="3">
        <f t="shared" ref="D88:AB88" si="49">CD0 +$B88^2/(PI()*AR*e) + D70</f>
        <v>3.7473125831367346E-2</v>
      </c>
      <c r="E88" s="3">
        <f t="shared" si="49"/>
        <v>3.7473422286023642E-2</v>
      </c>
      <c r="F88" s="3">
        <f t="shared" si="49"/>
        <v>3.7545277300858798E-2</v>
      </c>
      <c r="G88" s="3">
        <f t="shared" si="49"/>
        <v>3.7827328394503722E-2</v>
      </c>
      <c r="H88" s="3">
        <f t="shared" si="49"/>
        <v>3.8111607024191689E-2</v>
      </c>
      <c r="I88" s="3">
        <f t="shared" si="49"/>
        <v>3.8219370998952978E-2</v>
      </c>
      <c r="J88" s="3">
        <f t="shared" si="49"/>
        <v>3.8387149120104026E-2</v>
      </c>
      <c r="K88" s="3">
        <f t="shared" si="49"/>
        <v>3.8674529470187506E-2</v>
      </c>
      <c r="L88" s="3">
        <f t="shared" si="49"/>
        <v>3.9197777435089905E-2</v>
      </c>
      <c r="M88" s="3">
        <f t="shared" si="49"/>
        <v>4.0178724079183901E-2</v>
      </c>
      <c r="N88" s="3">
        <f t="shared" si="49"/>
        <v>4.2031805725627397E-2</v>
      </c>
      <c r="O88" s="3">
        <f t="shared" si="49"/>
        <v>4.5516141224670556E-2</v>
      </c>
      <c r="P88" s="3">
        <f t="shared" si="49"/>
        <v>5.1996603803508547E-2</v>
      </c>
      <c r="Q88" s="3">
        <f t="shared" si="49"/>
        <v>6.388464943765193E-2</v>
      </c>
      <c r="R88" s="3">
        <f t="shared" si="49"/>
        <v>8.5371170598444318E-2</v>
      </c>
      <c r="S88" s="3">
        <f t="shared" si="49"/>
        <v>0.12362707754216259</v>
      </c>
      <c r="T88" s="3">
        <f t="shared" si="49"/>
        <v>0.19074305911434175</v>
      </c>
      <c r="U88" s="3">
        <f t="shared" si="49"/>
        <v>0.30682282657406273</v>
      </c>
      <c r="V88" s="3">
        <f t="shared" si="49"/>
        <v>0.50485492737071835</v>
      </c>
      <c r="W88" s="3">
        <f t="shared" si="49"/>
        <v>0.83829600162324114</v>
      </c>
      <c r="X88" s="3">
        <f t="shared" si="49"/>
        <v>1.3927433514545686</v>
      </c>
      <c r="Y88" s="3">
        <f t="shared" si="49"/>
        <v>2.3037120482966262</v>
      </c>
      <c r="Z88" s="3">
        <f t="shared" si="49"/>
        <v>3.7834365405282835</v>
      </c>
      <c r="AA88" s="3">
        <f t="shared" si="49"/>
        <v>6.1608901341666433</v>
      </c>
      <c r="AB88" s="13">
        <f t="shared" si="49"/>
        <v>9.9409935626766313</v>
      </c>
    </row>
    <row r="89" spans="2:28" x14ac:dyDescent="0.25">
      <c r="B89" s="28">
        <v>0.7</v>
      </c>
      <c r="C89" s="25">
        <f t="shared" si="45"/>
        <v>0.7882262947125338</v>
      </c>
      <c r="D89" s="3">
        <f t="shared" ref="D89:AB89" si="50">CD0 +$B89^2/(PI()*AR*e) + D71</f>
        <v>4.1063506881349104E-2</v>
      </c>
      <c r="E89" s="3">
        <f t="shared" si="50"/>
        <v>4.1064441574507761E-2</v>
      </c>
      <c r="F89" s="3">
        <f t="shared" si="50"/>
        <v>4.1147908862358376E-2</v>
      </c>
      <c r="G89" s="3">
        <f t="shared" si="50"/>
        <v>4.1449213305913508E-2</v>
      </c>
      <c r="H89" s="3">
        <f t="shared" si="50"/>
        <v>4.1776165727855884E-2</v>
      </c>
      <c r="I89" s="3">
        <f t="shared" si="50"/>
        <v>4.192334577766995E-2</v>
      </c>
      <c r="J89" s="3">
        <f t="shared" si="50"/>
        <v>4.2169756065937217E-2</v>
      </c>
      <c r="K89" s="3">
        <f t="shared" si="50"/>
        <v>4.2612570775797422E-2</v>
      </c>
      <c r="L89" s="3">
        <f t="shared" si="50"/>
        <v>4.3438301369373822E-2</v>
      </c>
      <c r="M89" s="3">
        <f t="shared" si="50"/>
        <v>4.4997350644505538E-2</v>
      </c>
      <c r="N89" s="3">
        <f t="shared" si="50"/>
        <v>4.7934926259968674E-2</v>
      </c>
      <c r="O89" s="3">
        <f t="shared" si="50"/>
        <v>5.3416834379436902E-2</v>
      </c>
      <c r="P89" s="3">
        <f t="shared" si="50"/>
        <v>6.3512419393698838E-2</v>
      </c>
      <c r="Q89" s="3">
        <f t="shared" si="50"/>
        <v>8.1833821400913664E-2</v>
      </c>
      <c r="R89" s="3">
        <f t="shared" si="50"/>
        <v>0.11458732196318354</v>
      </c>
      <c r="S89" s="3">
        <f t="shared" si="50"/>
        <v>0.17227826388993173</v>
      </c>
      <c r="T89" s="3">
        <f t="shared" si="50"/>
        <v>0.27243930969438301</v>
      </c>
      <c r="U89" s="3">
        <f t="shared" si="50"/>
        <v>0.44394164161365146</v>
      </c>
      <c r="V89" s="3">
        <f t="shared" si="50"/>
        <v>0.73372668078147718</v>
      </c>
      <c r="W89" s="3">
        <f t="shared" si="50"/>
        <v>1.2171988624861003</v>
      </c>
      <c r="X89" s="3">
        <f t="shared" si="50"/>
        <v>2.0140985992891265</v>
      </c>
      <c r="Y89" s="3">
        <f t="shared" si="50"/>
        <v>3.3124978515278305</v>
      </c>
      <c r="Z89" s="3">
        <f t="shared" si="50"/>
        <v>5.4047221303708213</v>
      </c>
      <c r="AA89" s="3">
        <f t="shared" si="50"/>
        <v>8.7406277432523414</v>
      </c>
      <c r="AB89" s="13">
        <f t="shared" si="50"/>
        <v>14.005918956912719</v>
      </c>
    </row>
    <row r="90" spans="2:28" x14ac:dyDescent="0.25">
      <c r="B90" s="28">
        <v>0.75</v>
      </c>
      <c r="C90" s="25">
        <f t="shared" si="45"/>
        <v>0.78094377734041132</v>
      </c>
      <c r="D90" s="3">
        <f t="shared" ref="D90:AB90" si="51">CD0 +$B90^2/(PI()*AR*e) + D72</f>
        <v>4.4919842083181366E-2</v>
      </c>
      <c r="E90" s="3">
        <f t="shared" si="51"/>
        <v>4.4921889078418341E-2</v>
      </c>
      <c r="F90" s="3">
        <f t="shared" si="51"/>
        <v>4.5017664590612259E-2</v>
      </c>
      <c r="G90" s="3">
        <f t="shared" si="51"/>
        <v>4.5339042039399591E-2</v>
      </c>
      <c r="H90" s="3">
        <f t="shared" si="51"/>
        <v>4.5732566080971045E-2</v>
      </c>
      <c r="I90" s="3">
        <f t="shared" si="51"/>
        <v>4.5944955001795865E-2</v>
      </c>
      <c r="J90" s="3">
        <f t="shared" si="51"/>
        <v>4.6320701717893806E-2</v>
      </c>
      <c r="K90" s="3">
        <f t="shared" si="51"/>
        <v>4.701637408919998E-2</v>
      </c>
      <c r="L90" s="3">
        <f t="shared" si="51"/>
        <v>4.832779573560169E-2</v>
      </c>
      <c r="M90" s="3">
        <f t="shared" si="51"/>
        <v>5.0802592027623029E-2</v>
      </c>
      <c r="N90" s="3">
        <f t="shared" si="51"/>
        <v>5.5435230185343083E-2</v>
      </c>
      <c r="O90" s="3">
        <f t="shared" si="51"/>
        <v>6.3999283774799048E-2</v>
      </c>
      <c r="P90" s="3">
        <f t="shared" si="51"/>
        <v>7.9604434132197782E-2</v>
      </c>
      <c r="Q90" s="3">
        <f t="shared" si="51"/>
        <v>0.10761617510287327</v>
      </c>
      <c r="R90" s="3">
        <f t="shared" si="51"/>
        <v>0.15715285257892314</v>
      </c>
      <c r="S90" s="3">
        <f t="shared" si="51"/>
        <v>0.24348976787912902</v>
      </c>
      <c r="T90" s="3">
        <f t="shared" si="51"/>
        <v>0.39187091452567491</v>
      </c>
      <c r="U90" s="3">
        <f t="shared" si="51"/>
        <v>0.64347978272705941</v>
      </c>
      <c r="V90" s="3">
        <f t="shared" si="51"/>
        <v>1.0646853015517797</v>
      </c>
      <c r="W90" s="3">
        <f t="shared" si="51"/>
        <v>1.7612038894768649</v>
      </c>
      <c r="X90" s="3">
        <f t="shared" si="51"/>
        <v>2.899567278019382</v>
      </c>
      <c r="Y90" s="3">
        <f t="shared" si="51"/>
        <v>4.739344383544088</v>
      </c>
      <c r="Z90" s="3">
        <f t="shared" si="51"/>
        <v>7.6810499124981826</v>
      </c>
      <c r="AA90" s="3">
        <f t="shared" si="51"/>
        <v>12.336737415690797</v>
      </c>
      <c r="AB90" s="13">
        <f t="shared" si="51"/>
        <v>19.633125597691802</v>
      </c>
    </row>
    <row r="91" spans="2:28" ht="15.75" thickBot="1" x14ac:dyDescent="0.3">
      <c r="B91" s="29">
        <v>0.8</v>
      </c>
      <c r="C91" s="30">
        <f t="shared" si="45"/>
        <v>0.77366125996828872</v>
      </c>
      <c r="D91" s="14">
        <f t="shared" ref="D91:AB91" si="52">CD0 +$B91^2/(PI()*AR*e) + D73</f>
        <v>4.9042131436864145E-2</v>
      </c>
      <c r="E91" s="14">
        <f t="shared" si="52"/>
        <v>4.9045846017675872E-2</v>
      </c>
      <c r="F91" s="14">
        <f t="shared" si="52"/>
        <v>4.9154579546042389E-2</v>
      </c>
      <c r="G91" s="14">
        <f t="shared" si="52"/>
        <v>4.9497211020238276E-2</v>
      </c>
      <c r="H91" s="14">
        <f t="shared" si="52"/>
        <v>4.9997761548972064E-2</v>
      </c>
      <c r="I91" s="14">
        <f t="shared" si="52"/>
        <v>5.0317653574391379E-2</v>
      </c>
      <c r="J91" s="14">
        <f t="shared" si="52"/>
        <v>5.090449624900073E-2</v>
      </c>
      <c r="K91" s="14">
        <f t="shared" si="52"/>
        <v>5.2007658658262998E-2</v>
      </c>
      <c r="L91" s="14">
        <f t="shared" si="52"/>
        <v>5.4091283660548807E-2</v>
      </c>
      <c r="M91" s="14">
        <f t="shared" si="52"/>
        <v>5.8002550405726466E-2</v>
      </c>
      <c r="N91" s="14">
        <f t="shared" si="52"/>
        <v>6.5259627369763124E-2</v>
      </c>
      <c r="O91" s="14">
        <f t="shared" si="52"/>
        <v>7.8536459456009802E-2</v>
      </c>
      <c r="P91" s="14">
        <f t="shared" si="52"/>
        <v>0.10246646632855698</v>
      </c>
      <c r="Q91" s="14">
        <f t="shared" si="52"/>
        <v>0.1449557386655474</v>
      </c>
      <c r="R91" s="14">
        <f t="shared" si="52"/>
        <v>0.21929950295284695</v>
      </c>
      <c r="S91" s="14">
        <f t="shared" si="52"/>
        <v>0.34754924723098468</v>
      </c>
      <c r="T91" s="14">
        <f t="shared" si="52"/>
        <v>0.56580412856932383</v>
      </c>
      <c r="U91" s="14">
        <f t="shared" si="52"/>
        <v>0.93243000427116773</v>
      </c>
      <c r="V91" s="14">
        <f t="shared" si="52"/>
        <v>1.5406852953043202</v>
      </c>
      <c r="W91" s="14">
        <f t="shared" si="52"/>
        <v>2.5379133101522009</v>
      </c>
      <c r="X91" s="14">
        <f t="shared" si="52"/>
        <v>4.1544249781237976</v>
      </c>
      <c r="Y91" s="14">
        <f t="shared" si="52"/>
        <v>6.7465511437263785</v>
      </c>
      <c r="Z91" s="14">
        <f t="shared" si="52"/>
        <v>10.860232856430171</v>
      </c>
      <c r="AA91" s="14">
        <f t="shared" si="52"/>
        <v>17.324131816169249</v>
      </c>
      <c r="AB91" s="15">
        <f t="shared" si="52"/>
        <v>27.384832710327299</v>
      </c>
    </row>
    <row r="92" spans="2:28" ht="15.75" thickBot="1" x14ac:dyDescent="0.3"/>
    <row r="93" spans="2:28" ht="15.75" thickBot="1" x14ac:dyDescent="0.3">
      <c r="B93" s="6"/>
      <c r="C93" s="6"/>
      <c r="D93" s="41" t="s">
        <v>2</v>
      </c>
      <c r="E93" s="40"/>
      <c r="F93" s="40"/>
      <c r="G93" s="40"/>
      <c r="H93" s="40"/>
      <c r="I93" s="40"/>
      <c r="J93" s="40"/>
      <c r="K93" s="40"/>
      <c r="L93" s="40"/>
      <c r="M93" s="40"/>
      <c r="N93" s="40"/>
      <c r="O93" s="40"/>
      <c r="P93" s="40"/>
      <c r="Q93" s="40"/>
      <c r="R93" s="40"/>
      <c r="S93" s="40"/>
      <c r="T93" s="40"/>
      <c r="U93" s="40"/>
      <c r="V93" s="40"/>
      <c r="W93" s="40"/>
      <c r="X93" s="40"/>
      <c r="Y93" s="40"/>
      <c r="Z93" s="40"/>
      <c r="AA93" s="40"/>
      <c r="AB93" s="42"/>
    </row>
    <row r="94" spans="2:28" ht="18" x14ac:dyDescent="0.35">
      <c r="B94" s="31" t="s">
        <v>8</v>
      </c>
      <c r="C94" s="32" t="s">
        <v>41</v>
      </c>
      <c r="D94" s="33">
        <v>0</v>
      </c>
      <c r="E94" s="34">
        <v>0.5</v>
      </c>
      <c r="F94" s="34">
        <v>0.6</v>
      </c>
      <c r="G94" s="34">
        <v>0.7</v>
      </c>
      <c r="H94" s="34">
        <v>0.75</v>
      </c>
      <c r="I94" s="34">
        <v>0.76</v>
      </c>
      <c r="J94" s="34">
        <v>0.77</v>
      </c>
      <c r="K94" s="34">
        <v>0.78</v>
      </c>
      <c r="L94" s="34">
        <v>0.79</v>
      </c>
      <c r="M94" s="34">
        <v>0.8</v>
      </c>
      <c r="N94" s="34">
        <v>0.81</v>
      </c>
      <c r="O94" s="34">
        <v>0.82</v>
      </c>
      <c r="P94" s="34">
        <v>0.83</v>
      </c>
      <c r="Q94" s="34">
        <v>0.84</v>
      </c>
      <c r="R94" s="34">
        <v>0.85</v>
      </c>
      <c r="S94" s="34">
        <v>0.86</v>
      </c>
      <c r="T94" s="34">
        <v>0.87</v>
      </c>
      <c r="U94" s="34">
        <v>0.88</v>
      </c>
      <c r="V94" s="34">
        <v>0.89</v>
      </c>
      <c r="W94" s="34">
        <v>0.9</v>
      </c>
      <c r="X94" s="34">
        <v>0.91</v>
      </c>
      <c r="Y94" s="34">
        <v>0.92</v>
      </c>
      <c r="Z94" s="34">
        <v>0.93</v>
      </c>
      <c r="AA94" s="34">
        <v>0.94</v>
      </c>
      <c r="AB94" s="35">
        <v>0.95</v>
      </c>
    </row>
    <row r="95" spans="2:28" x14ac:dyDescent="0.25">
      <c r="B95" s="28">
        <v>0</v>
      </c>
      <c r="C95" s="25">
        <f t="shared" ref="C95:C102" si="53">C27</f>
        <v>0.89018153792224997</v>
      </c>
      <c r="D95" s="3">
        <f t="shared" ref="D95:AB95" si="54">D$94*D27</f>
        <v>0</v>
      </c>
      <c r="E95" s="3">
        <f t="shared" si="54"/>
        <v>0</v>
      </c>
      <c r="F95" s="3">
        <f t="shared" si="54"/>
        <v>0</v>
      </c>
      <c r="G95" s="3">
        <f t="shared" si="54"/>
        <v>0</v>
      </c>
      <c r="H95" s="3">
        <f t="shared" si="54"/>
        <v>0</v>
      </c>
      <c r="I95" s="3">
        <f t="shared" si="54"/>
        <v>0</v>
      </c>
      <c r="J95" s="3">
        <f t="shared" si="54"/>
        <v>0</v>
      </c>
      <c r="K95" s="3">
        <f t="shared" si="54"/>
        <v>0</v>
      </c>
      <c r="L95" s="3">
        <f t="shared" si="54"/>
        <v>0</v>
      </c>
      <c r="M95" s="3">
        <f t="shared" si="54"/>
        <v>0</v>
      </c>
      <c r="N95" s="3">
        <f t="shared" si="54"/>
        <v>0</v>
      </c>
      <c r="O95" s="3">
        <f t="shared" si="54"/>
        <v>0</v>
      </c>
      <c r="P95" s="3">
        <f t="shared" si="54"/>
        <v>0</v>
      </c>
      <c r="Q95" s="3">
        <f t="shared" si="54"/>
        <v>0</v>
      </c>
      <c r="R95" s="3">
        <f t="shared" si="54"/>
        <v>0</v>
      </c>
      <c r="S95" s="3">
        <f t="shared" si="54"/>
        <v>0</v>
      </c>
      <c r="T95" s="3">
        <f t="shared" si="54"/>
        <v>0</v>
      </c>
      <c r="U95" s="3">
        <f t="shared" si="54"/>
        <v>0</v>
      </c>
      <c r="V95" s="3">
        <f t="shared" si="54"/>
        <v>0</v>
      </c>
      <c r="W95" s="3">
        <f t="shared" si="54"/>
        <v>0</v>
      </c>
      <c r="X95" s="3">
        <f t="shared" si="54"/>
        <v>0</v>
      </c>
      <c r="Y95" s="3">
        <f t="shared" si="54"/>
        <v>0</v>
      </c>
      <c r="Z95" s="3">
        <f t="shared" si="54"/>
        <v>0</v>
      </c>
      <c r="AA95" s="3">
        <f t="shared" si="54"/>
        <v>0</v>
      </c>
      <c r="AB95" s="13">
        <f t="shared" si="54"/>
        <v>0</v>
      </c>
    </row>
    <row r="96" spans="2:28" x14ac:dyDescent="0.25">
      <c r="B96" s="28">
        <v>0.1</v>
      </c>
      <c r="C96" s="25">
        <f t="shared" si="53"/>
        <v>0.87561650317800477</v>
      </c>
      <c r="D96" s="3">
        <f t="shared" ref="D96:AB96" si="55">D$94*D28</f>
        <v>0</v>
      </c>
      <c r="E96" s="3">
        <f t="shared" si="55"/>
        <v>3.2191794480325262</v>
      </c>
      <c r="F96" s="3">
        <f t="shared" si="55"/>
        <v>3.8622175814229838</v>
      </c>
      <c r="G96" s="3">
        <f t="shared" si="55"/>
        <v>4.4756147917186242</v>
      </c>
      <c r="H96" s="3">
        <f t="shared" si="55"/>
        <v>4.7548348169869517</v>
      </c>
      <c r="I96" s="3">
        <f t="shared" si="55"/>
        <v>4.8077155110553091</v>
      </c>
      <c r="J96" s="3">
        <f t="shared" si="55"/>
        <v>4.8594910374001614</v>
      </c>
      <c r="K96" s="3">
        <f t="shared" si="55"/>
        <v>4.9100891378601448</v>
      </c>
      <c r="L96" s="3">
        <f t="shared" si="55"/>
        <v>4.9593917037280262</v>
      </c>
      <c r="M96" s="3">
        <f t="shared" si="55"/>
        <v>5.007170307656132</v>
      </c>
      <c r="N96" s="3">
        <f t="shared" si="55"/>
        <v>5.0529435830168294</v>
      </c>
      <c r="O96" s="3">
        <f t="shared" si="55"/>
        <v>5.0956735535081519</v>
      </c>
      <c r="P96" s="3">
        <f t="shared" si="55"/>
        <v>5.1331434170740557</v>
      </c>
      <c r="Q96" s="3">
        <f t="shared" si="55"/>
        <v>5.1607365178056535</v>
      </c>
      <c r="R96" s="3">
        <f t="shared" si="55"/>
        <v>5.1691741247025504</v>
      </c>
      <c r="S96" s="3">
        <f t="shared" si="55"/>
        <v>5.1406995052739966</v>
      </c>
      <c r="T96" s="3">
        <f t="shared" si="55"/>
        <v>5.0437657537333607</v>
      </c>
      <c r="U96" s="3">
        <f t="shared" si="55"/>
        <v>4.8289883285526418</v>
      </c>
      <c r="V96" s="3">
        <f t="shared" si="55"/>
        <v>4.4358657708565348</v>
      </c>
      <c r="W96" s="3">
        <f t="shared" si="55"/>
        <v>3.8257782845084076</v>
      </c>
      <c r="X96" s="3">
        <f t="shared" si="55"/>
        <v>3.0371419806059117</v>
      </c>
      <c r="Y96" s="3">
        <f t="shared" si="55"/>
        <v>2.2023307905621095</v>
      </c>
      <c r="Z96" s="3">
        <f t="shared" si="55"/>
        <v>1.4732525000330292</v>
      </c>
      <c r="AA96" s="3">
        <f t="shared" si="55"/>
        <v>0.9293346533465916</v>
      </c>
      <c r="AB96" s="13">
        <f t="shared" si="55"/>
        <v>0.56593539135193771</v>
      </c>
    </row>
    <row r="97" spans="1:28" x14ac:dyDescent="0.25">
      <c r="B97" s="28">
        <v>0.2</v>
      </c>
      <c r="C97" s="25">
        <f t="shared" si="53"/>
        <v>0.86105146843375968</v>
      </c>
      <c r="D97" s="3">
        <f t="shared" ref="D97:AB97" si="56">D$94*D29</f>
        <v>0</v>
      </c>
      <c r="E97" s="3">
        <f t="shared" si="56"/>
        <v>5.8385183023166647</v>
      </c>
      <c r="F97" s="3">
        <f t="shared" si="56"/>
        <v>7.002902371064855</v>
      </c>
      <c r="G97" s="3">
        <f t="shared" si="56"/>
        <v>8.1073152155333261</v>
      </c>
      <c r="H97" s="3">
        <f t="shared" si="56"/>
        <v>8.6106239784424243</v>
      </c>
      <c r="I97" s="3">
        <f t="shared" si="56"/>
        <v>8.7060867569324323</v>
      </c>
      <c r="J97" s="3">
        <f t="shared" si="56"/>
        <v>8.7995489869545889</v>
      </c>
      <c r="K97" s="3">
        <f t="shared" si="56"/>
        <v>8.8907522649151449</v>
      </c>
      <c r="L97" s="3">
        <f t="shared" si="56"/>
        <v>8.9791742448307339</v>
      </c>
      <c r="M97" s="3">
        <f t="shared" si="56"/>
        <v>9.0636986321672968</v>
      </c>
      <c r="N97" s="3">
        <f t="shared" si="56"/>
        <v>9.1419233967235076</v>
      </c>
      <c r="O97" s="3">
        <f t="shared" si="56"/>
        <v>9.2087660401481042</v>
      </c>
      <c r="P97" s="3">
        <f t="shared" si="56"/>
        <v>9.2537786173904717</v>
      </c>
      <c r="Q97" s="3">
        <f t="shared" si="56"/>
        <v>9.2563079732667006</v>
      </c>
      <c r="R97" s="3">
        <f t="shared" si="56"/>
        <v>9.1777205504392256</v>
      </c>
      <c r="S97" s="3">
        <f t="shared" si="56"/>
        <v>8.9517606244675978</v>
      </c>
      <c r="T97" s="3">
        <f t="shared" si="56"/>
        <v>8.4809541260032759</v>
      </c>
      <c r="U97" s="3">
        <f t="shared" si="56"/>
        <v>7.660644975769495</v>
      </c>
      <c r="V97" s="3">
        <f t="shared" si="56"/>
        <v>6.4548146655634708</v>
      </c>
      <c r="W97" s="3">
        <f t="shared" si="56"/>
        <v>4.9882881006466935</v>
      </c>
      <c r="X97" s="3">
        <f t="shared" si="56"/>
        <v>3.5277883241806691</v>
      </c>
      <c r="Y97" s="3">
        <f t="shared" si="56"/>
        <v>2.3165505425264832</v>
      </c>
      <c r="Z97" s="3">
        <f t="shared" si="56"/>
        <v>1.4456057624098542</v>
      </c>
      <c r="AA97" s="3">
        <f t="shared" si="56"/>
        <v>0.87648054175358481</v>
      </c>
      <c r="AB97" s="13">
        <f t="shared" si="56"/>
        <v>0.52482815072092026</v>
      </c>
    </row>
    <row r="98" spans="1:28" x14ac:dyDescent="0.25">
      <c r="B98" s="28">
        <v>0.25</v>
      </c>
      <c r="C98" s="25">
        <f t="shared" si="53"/>
        <v>0.85376895106163708</v>
      </c>
      <c r="D98" s="3">
        <f t="shared" ref="D98:AB98" si="57">D$94*D30</f>
        <v>0</v>
      </c>
      <c r="E98" s="3">
        <f t="shared" si="57"/>
        <v>6.8214957387151678</v>
      </c>
      <c r="F98" s="3">
        <f t="shared" si="57"/>
        <v>8.1805970389670364</v>
      </c>
      <c r="G98" s="3">
        <f t="shared" si="57"/>
        <v>9.4680383013672067</v>
      </c>
      <c r="H98" s="3">
        <f t="shared" si="57"/>
        <v>10.05630173511461</v>
      </c>
      <c r="I98" s="3">
        <f t="shared" si="57"/>
        <v>10.168046177761621</v>
      </c>
      <c r="J98" s="3">
        <f t="shared" si="57"/>
        <v>10.277422639891849</v>
      </c>
      <c r="K98" s="3">
        <f t="shared" si="57"/>
        <v>10.383964033424837</v>
      </c>
      <c r="L98" s="3">
        <f t="shared" si="57"/>
        <v>10.486682692445887</v>
      </c>
      <c r="M98" s="3">
        <f t="shared" si="57"/>
        <v>10.583451679397145</v>
      </c>
      <c r="N98" s="3">
        <f t="shared" si="57"/>
        <v>10.669741858775174</v>
      </c>
      <c r="O98" s="3">
        <f t="shared" si="57"/>
        <v>10.736151099094979</v>
      </c>
      <c r="P98" s="3">
        <f t="shared" si="57"/>
        <v>10.763835658708892</v>
      </c>
      <c r="Q98" s="3">
        <f t="shared" si="57"/>
        <v>10.716802123794569</v>
      </c>
      <c r="R98" s="3">
        <f t="shared" si="57"/>
        <v>10.531106610517789</v>
      </c>
      <c r="S98" s="3">
        <f t="shared" si="57"/>
        <v>10.106257108008826</v>
      </c>
      <c r="T98" s="3">
        <f t="shared" si="57"/>
        <v>9.3174114507165626</v>
      </c>
      <c r="U98" s="3">
        <f t="shared" si="57"/>
        <v>8.0797871869280673</v>
      </c>
      <c r="V98" s="3">
        <f t="shared" si="57"/>
        <v>6.460906516088734</v>
      </c>
      <c r="W98" s="3">
        <f t="shared" si="57"/>
        <v>4.7239453305387666</v>
      </c>
      <c r="X98" s="3">
        <f t="shared" si="57"/>
        <v>3.1858168742593351</v>
      </c>
      <c r="Y98" s="3">
        <f t="shared" si="57"/>
        <v>2.0239179188734013</v>
      </c>
      <c r="Z98" s="3">
        <f t="shared" si="57"/>
        <v>1.2397102040324945</v>
      </c>
      <c r="AA98" s="3">
        <f t="shared" si="57"/>
        <v>0.74590850668869235</v>
      </c>
      <c r="AB98" s="13">
        <f t="shared" si="57"/>
        <v>0.4463647345949987</v>
      </c>
    </row>
    <row r="99" spans="1:28" x14ac:dyDescent="0.25">
      <c r="A99" s="7"/>
      <c r="B99" s="28">
        <v>0.3</v>
      </c>
      <c r="C99" s="25">
        <f t="shared" si="53"/>
        <v>0.84648643368951448</v>
      </c>
      <c r="D99" s="3">
        <f t="shared" ref="D99:AB99" si="58">D$94*D31</f>
        <v>0</v>
      </c>
      <c r="E99" s="3">
        <f t="shared" si="58"/>
        <v>7.5806678831968561</v>
      </c>
      <c r="F99" s="3">
        <f t="shared" si="58"/>
        <v>9.0894726899162883</v>
      </c>
      <c r="G99" s="3">
        <f t="shared" si="58"/>
        <v>10.518195548776218</v>
      </c>
      <c r="H99" s="3">
        <f t="shared" si="58"/>
        <v>11.173303028054992</v>
      </c>
      <c r="I99" s="3">
        <f t="shared" si="58"/>
        <v>11.297928355850473</v>
      </c>
      <c r="J99" s="3">
        <f t="shared" si="58"/>
        <v>11.419805131761768</v>
      </c>
      <c r="K99" s="3">
        <f t="shared" si="58"/>
        <v>11.538108146082665</v>
      </c>
      <c r="L99" s="3">
        <f t="shared" si="58"/>
        <v>11.651063605164405</v>
      </c>
      <c r="M99" s="3">
        <f t="shared" si="58"/>
        <v>11.754875399939111</v>
      </c>
      <c r="N99" s="3">
        <f t="shared" si="58"/>
        <v>11.841593705297869</v>
      </c>
      <c r="O99" s="3">
        <f t="shared" si="58"/>
        <v>11.895088236715168</v>
      </c>
      <c r="P99" s="3">
        <f t="shared" si="58"/>
        <v>11.883986667950499</v>
      </c>
      <c r="Q99" s="3">
        <f t="shared" si="58"/>
        <v>11.7508887164309</v>
      </c>
      <c r="R99" s="3">
        <f t="shared" si="58"/>
        <v>11.400662179829807</v>
      </c>
      <c r="S99" s="3">
        <f t="shared" si="58"/>
        <v>10.701579725379323</v>
      </c>
      <c r="T99" s="3">
        <f t="shared" si="58"/>
        <v>9.5305226249095227</v>
      </c>
      <c r="U99" s="3">
        <f t="shared" si="58"/>
        <v>7.8833613359420429</v>
      </c>
      <c r="V99" s="3">
        <f t="shared" si="58"/>
        <v>5.9733021158275177</v>
      </c>
      <c r="W99" s="3">
        <f t="shared" si="58"/>
        <v>4.1544300627268393</v>
      </c>
      <c r="X99" s="3">
        <f t="shared" si="58"/>
        <v>2.698355002800696</v>
      </c>
      <c r="Y99" s="3">
        <f t="shared" si="58"/>
        <v>1.6753625365894591</v>
      </c>
      <c r="Z99" s="3">
        <f t="shared" si="58"/>
        <v>1.0151576110366984</v>
      </c>
      <c r="AA99" s="3">
        <f t="shared" si="58"/>
        <v>0.60920156755479726</v>
      </c>
      <c r="AB99" s="13">
        <f t="shared" si="58"/>
        <v>0.36540299063148735</v>
      </c>
    </row>
    <row r="100" spans="1:28" x14ac:dyDescent="0.25">
      <c r="A100" s="7"/>
      <c r="B100" s="28">
        <v>0.35</v>
      </c>
      <c r="C100" s="25">
        <f t="shared" si="53"/>
        <v>0.83920391631739188</v>
      </c>
      <c r="D100" s="3">
        <f t="shared" ref="D100:AB100" si="59">D$94*D32</f>
        <v>0</v>
      </c>
      <c r="E100" s="3">
        <f t="shared" si="59"/>
        <v>8.1335286623289758</v>
      </c>
      <c r="F100" s="3">
        <f t="shared" si="59"/>
        <v>9.7506705251896584</v>
      </c>
      <c r="G100" s="3">
        <f t="shared" si="59"/>
        <v>11.282586030115175</v>
      </c>
      <c r="H100" s="3">
        <f t="shared" si="59"/>
        <v>11.987809626816404</v>
      </c>
      <c r="I100" s="3">
        <f t="shared" si="59"/>
        <v>12.122089488759588</v>
      </c>
      <c r="J100" s="3">
        <f t="shared" si="59"/>
        <v>12.253131330321345</v>
      </c>
      <c r="K100" s="3">
        <f t="shared" si="59"/>
        <v>12.379517259087327</v>
      </c>
      <c r="L100" s="3">
        <f t="shared" si="59"/>
        <v>12.498202557006987</v>
      </c>
      <c r="M100" s="3">
        <f t="shared" si="59"/>
        <v>12.602761779419321</v>
      </c>
      <c r="N100" s="3">
        <f t="shared" si="59"/>
        <v>12.680013849177765</v>
      </c>
      <c r="O100" s="3">
        <f t="shared" si="59"/>
        <v>12.703918345228413</v>
      </c>
      <c r="P100" s="3">
        <f t="shared" si="59"/>
        <v>12.625646558047293</v>
      </c>
      <c r="Q100" s="3">
        <f t="shared" si="59"/>
        <v>12.360738916481687</v>
      </c>
      <c r="R100" s="3">
        <f t="shared" si="59"/>
        <v>11.782179607534863</v>
      </c>
      <c r="S100" s="3">
        <f t="shared" si="59"/>
        <v>10.745356147870599</v>
      </c>
      <c r="T100" s="3">
        <f t="shared" si="59"/>
        <v>9.17929754094442</v>
      </c>
      <c r="U100" s="3">
        <f t="shared" si="59"/>
        <v>7.2149657554640658</v>
      </c>
      <c r="V100" s="3">
        <f t="shared" si="59"/>
        <v>5.1929704420394271</v>
      </c>
      <c r="W100" s="3">
        <f t="shared" si="59"/>
        <v>3.4634217052634635</v>
      </c>
      <c r="X100" s="3">
        <f t="shared" si="59"/>
        <v>2.1879416541432462</v>
      </c>
      <c r="Y100" s="3">
        <f t="shared" si="59"/>
        <v>1.3387011955711765</v>
      </c>
      <c r="Z100" s="3">
        <f t="shared" si="59"/>
        <v>0.80699845913283941</v>
      </c>
      <c r="AA100" s="3">
        <f t="shared" si="59"/>
        <v>0.48467705672801564</v>
      </c>
      <c r="AB100" s="13">
        <f t="shared" si="59"/>
        <v>0.29194142909036569</v>
      </c>
    </row>
    <row r="101" spans="1:28" x14ac:dyDescent="0.25">
      <c r="B101" s="28">
        <v>0.4</v>
      </c>
      <c r="C101" s="25">
        <f t="shared" si="53"/>
        <v>0.83192139894526929</v>
      </c>
      <c r="D101" s="3">
        <f t="shared" ref="D101:AB101" si="60">D$94*D33</f>
        <v>0</v>
      </c>
      <c r="E101" s="3">
        <f t="shared" si="60"/>
        <v>8.5068254810567083</v>
      </c>
      <c r="F101" s="3">
        <f t="shared" si="60"/>
        <v>10.196420197678227</v>
      </c>
      <c r="G101" s="3">
        <f t="shared" si="60"/>
        <v>11.798563193672862</v>
      </c>
      <c r="H101" s="3">
        <f t="shared" si="60"/>
        <v>12.539127812369161</v>
      </c>
      <c r="I101" s="3">
        <f t="shared" si="60"/>
        <v>12.680083117402397</v>
      </c>
      <c r="J101" s="3">
        <f t="shared" si="60"/>
        <v>12.817064316722588</v>
      </c>
      <c r="K101" s="3">
        <f t="shared" si="60"/>
        <v>12.947706687949566</v>
      </c>
      <c r="L101" s="3">
        <f t="shared" si="60"/>
        <v>13.066987169923062</v>
      </c>
      <c r="M101" s="3">
        <f t="shared" si="60"/>
        <v>13.164500429728008</v>
      </c>
      <c r="N101" s="3">
        <f t="shared" si="60"/>
        <v>13.21940821455984</v>
      </c>
      <c r="O101" s="3">
        <f t="shared" si="60"/>
        <v>13.191826359863741</v>
      </c>
      <c r="P101" s="3">
        <f t="shared" si="60"/>
        <v>13.010351157603228</v>
      </c>
      <c r="Q101" s="3">
        <f t="shared" si="60"/>
        <v>12.560539533092973</v>
      </c>
      <c r="R101" s="3">
        <f t="shared" si="60"/>
        <v>11.693148024948389</v>
      </c>
      <c r="S101" s="3">
        <f t="shared" si="60"/>
        <v>10.288227945441232</v>
      </c>
      <c r="T101" s="3">
        <f t="shared" si="60"/>
        <v>8.3843258110441408</v>
      </c>
      <c r="U101" s="3">
        <f t="shared" si="60"/>
        <v>6.2598028341671732</v>
      </c>
      <c r="V101" s="3">
        <f t="shared" si="60"/>
        <v>4.304509607234535</v>
      </c>
      <c r="W101" s="3">
        <f t="shared" si="60"/>
        <v>2.7780831280781744</v>
      </c>
      <c r="X101" s="3">
        <f t="shared" si="60"/>
        <v>1.7217729845287544</v>
      </c>
      <c r="Y101" s="3">
        <f t="shared" si="60"/>
        <v>1.0447873713228695</v>
      </c>
      <c r="Z101" s="3">
        <f t="shared" si="60"/>
        <v>0.62911052905840992</v>
      </c>
      <c r="AA101" s="3">
        <f t="shared" si="60"/>
        <v>0.37901476638977194</v>
      </c>
      <c r="AB101" s="13">
        <f t="shared" si="60"/>
        <v>0.22953896706769267</v>
      </c>
    </row>
    <row r="102" spans="1:28" x14ac:dyDescent="0.25">
      <c r="B102" s="28">
        <v>0.45</v>
      </c>
      <c r="C102" s="25">
        <f t="shared" si="53"/>
        <v>0.82463888157314669</v>
      </c>
      <c r="D102" s="3">
        <f t="shared" ref="D102:AB102" si="61">D$94*D34</f>
        <v>0</v>
      </c>
      <c r="E102" s="3">
        <f t="shared" si="61"/>
        <v>8.7306953630606667</v>
      </c>
      <c r="F102" s="3">
        <f t="shared" si="61"/>
        <v>10.462986668850974</v>
      </c>
      <c r="G102" s="3">
        <f t="shared" si="61"/>
        <v>12.107978123305577</v>
      </c>
      <c r="H102" s="3">
        <f t="shared" si="61"/>
        <v>12.871241740700778</v>
      </c>
      <c r="I102" s="3">
        <f t="shared" si="61"/>
        <v>13.016133794672969</v>
      </c>
      <c r="J102" s="3">
        <f t="shared" si="61"/>
        <v>13.155878192918202</v>
      </c>
      <c r="K102" s="3">
        <f t="shared" si="61"/>
        <v>13.286644300681624</v>
      </c>
      <c r="L102" s="3">
        <f t="shared" si="61"/>
        <v>13.400427934479559</v>
      </c>
      <c r="M102" s="3">
        <f t="shared" si="61"/>
        <v>13.481007207080124</v>
      </c>
      <c r="N102" s="3">
        <f t="shared" si="61"/>
        <v>13.496792015241269</v>
      </c>
      <c r="O102" s="3">
        <f t="shared" si="61"/>
        <v>13.389629659922329</v>
      </c>
      <c r="P102" s="3">
        <f t="shared" si="61"/>
        <v>13.061575700214762</v>
      </c>
      <c r="Q102" s="3">
        <f t="shared" si="61"/>
        <v>12.371682534217234</v>
      </c>
      <c r="R102" s="3">
        <f t="shared" si="61"/>
        <v>11.173414279939189</v>
      </c>
      <c r="S102" s="3">
        <f t="shared" si="61"/>
        <v>9.423245119713231</v>
      </c>
      <c r="T102" s="3">
        <f t="shared" si="61"/>
        <v>7.3051504887403924</v>
      </c>
      <c r="U102" s="3">
        <f t="shared" si="61"/>
        <v>5.1969815016198755</v>
      </c>
      <c r="V102" s="3">
        <f t="shared" si="61"/>
        <v>3.4408834878705559</v>
      </c>
      <c r="W102" s="3">
        <f t="shared" si="61"/>
        <v>2.1677921362293739</v>
      </c>
      <c r="X102" s="3">
        <f t="shared" si="61"/>
        <v>1.327424221569248</v>
      </c>
      <c r="Y102" s="3">
        <f t="shared" si="61"/>
        <v>0.80261624450257862</v>
      </c>
      <c r="Z102" s="3">
        <f t="shared" si="61"/>
        <v>0.48409139190551825</v>
      </c>
      <c r="AA102" s="3">
        <f t="shared" si="61"/>
        <v>0.29299747207612309</v>
      </c>
      <c r="AB102" s="13">
        <f t="shared" si="61"/>
        <v>0.17854475023078314</v>
      </c>
    </row>
    <row r="103" spans="1:28" x14ac:dyDescent="0.25">
      <c r="B103" s="28">
        <v>0.5</v>
      </c>
      <c r="C103" s="25">
        <f t="shared" ref="C103:C109" si="62">C35</f>
        <v>0.8173563642010242</v>
      </c>
      <c r="D103" s="3">
        <f t="shared" ref="D103:AB103" si="63">D$94*D35</f>
        <v>0</v>
      </c>
      <c r="E103" s="3">
        <f t="shared" si="63"/>
        <v>8.8346379007053724</v>
      </c>
      <c r="F103" s="3">
        <f t="shared" si="63"/>
        <v>10.585834129007067</v>
      </c>
      <c r="G103" s="3">
        <f t="shared" si="63"/>
        <v>12.25167679790804</v>
      </c>
      <c r="H103" s="3">
        <f t="shared" si="63"/>
        <v>13.027026092766238</v>
      </c>
      <c r="I103" s="3">
        <f t="shared" si="63"/>
        <v>13.173279418905842</v>
      </c>
      <c r="J103" s="3">
        <f t="shared" si="63"/>
        <v>13.31251137584664</v>
      </c>
      <c r="K103" s="3">
        <f t="shared" si="63"/>
        <v>13.438683040748902</v>
      </c>
      <c r="L103" s="3">
        <f t="shared" si="63"/>
        <v>13.539425782212129</v>
      </c>
      <c r="M103" s="3">
        <f t="shared" si="63"/>
        <v>13.590295388840747</v>
      </c>
      <c r="N103" s="3">
        <f t="shared" si="63"/>
        <v>13.545257962766227</v>
      </c>
      <c r="O103" s="3">
        <f t="shared" si="63"/>
        <v>13.323697881596571</v>
      </c>
      <c r="P103" s="3">
        <f t="shared" si="63"/>
        <v>12.800741924973947</v>
      </c>
      <c r="Q103" s="3">
        <f t="shared" si="63"/>
        <v>11.823386399816124</v>
      </c>
      <c r="R103" s="3">
        <f t="shared" si="63"/>
        <v>10.288805999453952</v>
      </c>
      <c r="S103" s="3">
        <f t="shared" si="63"/>
        <v>8.2778048592930134</v>
      </c>
      <c r="T103" s="3">
        <f t="shared" si="63"/>
        <v>6.1070831283542866</v>
      </c>
      <c r="U103" s="3">
        <f t="shared" si="63"/>
        <v>4.1644684574873407</v>
      </c>
      <c r="V103" s="3">
        <f t="shared" si="63"/>
        <v>2.6772212872227987</v>
      </c>
      <c r="W103" s="3">
        <f t="shared" si="63"/>
        <v>1.6590925512676722</v>
      </c>
      <c r="X103" s="3">
        <f t="shared" si="63"/>
        <v>1.0092377629137408</v>
      </c>
      <c r="Y103" s="3">
        <f t="shared" si="63"/>
        <v>0.61010742593401368</v>
      </c>
      <c r="Z103" s="3">
        <f t="shared" si="63"/>
        <v>0.36929422971704501</v>
      </c>
      <c r="AA103" s="3">
        <f t="shared" si="63"/>
        <v>0.22477233535366173</v>
      </c>
      <c r="AB103" s="13">
        <f t="shared" si="63"/>
        <v>0.13788052078161733</v>
      </c>
    </row>
    <row r="104" spans="1:28" x14ac:dyDescent="0.25">
      <c r="B104" s="28">
        <v>0.55000000000000004</v>
      </c>
      <c r="C104" s="25">
        <f t="shared" si="62"/>
        <v>0.8100738468289016</v>
      </c>
      <c r="D104" s="3">
        <f t="shared" ref="D104:AB104" si="64">D$94*D36</f>
        <v>0</v>
      </c>
      <c r="E104" s="3">
        <f t="shared" si="64"/>
        <v>8.8452235228633747</v>
      </c>
      <c r="F104" s="3">
        <f t="shared" si="64"/>
        <v>10.596880220631732</v>
      </c>
      <c r="G104" s="3">
        <f t="shared" si="64"/>
        <v>12.266386554566839</v>
      </c>
      <c r="H104" s="3">
        <f t="shared" si="64"/>
        <v>13.04494085609398</v>
      </c>
      <c r="I104" s="3">
        <f t="shared" si="64"/>
        <v>13.190001917126583</v>
      </c>
      <c r="J104" s="3">
        <f t="shared" si="64"/>
        <v>13.325106255764339</v>
      </c>
      <c r="K104" s="3">
        <f t="shared" si="64"/>
        <v>13.44096899176748</v>
      </c>
      <c r="L104" s="3">
        <f t="shared" si="64"/>
        <v>13.519004788519119</v>
      </c>
      <c r="M104" s="3">
        <f t="shared" si="64"/>
        <v>13.523548014875738</v>
      </c>
      <c r="N104" s="3">
        <f t="shared" si="64"/>
        <v>13.390175470057082</v>
      </c>
      <c r="O104" s="3">
        <f t="shared" si="64"/>
        <v>13.013335787851901</v>
      </c>
      <c r="P104" s="3">
        <f t="shared" si="64"/>
        <v>12.248013228313718</v>
      </c>
      <c r="Q104" s="3">
        <f t="shared" si="64"/>
        <v>10.957999317577455</v>
      </c>
      <c r="R104" s="3">
        <f t="shared" si="64"/>
        <v>9.1327788584494112</v>
      </c>
      <c r="S104" s="3">
        <f t="shared" si="64"/>
        <v>6.9950794234831921</v>
      </c>
      <c r="T104" s="3">
        <f t="shared" si="64"/>
        <v>4.9293166980259882</v>
      </c>
      <c r="U104" s="3">
        <f t="shared" si="64"/>
        <v>3.2463295281354081</v>
      </c>
      <c r="V104" s="3">
        <f t="shared" si="64"/>
        <v>2.0426251300473086</v>
      </c>
      <c r="W104" s="3">
        <f t="shared" si="64"/>
        <v>1.2529075740633335</v>
      </c>
      <c r="X104" s="3">
        <f t="shared" si="64"/>
        <v>0.760226617658603</v>
      </c>
      <c r="Y104" s="3">
        <f t="shared" si="64"/>
        <v>0.46058122968591891</v>
      </c>
      <c r="Z104" s="3">
        <f t="shared" si="64"/>
        <v>0.28013972302452955</v>
      </c>
      <c r="AA104" s="3">
        <f t="shared" si="64"/>
        <v>0.17157249824480686</v>
      </c>
      <c r="AB104" s="13">
        <f t="shared" si="64"/>
        <v>0.10597184763453371</v>
      </c>
    </row>
    <row r="105" spans="1:28" x14ac:dyDescent="0.25">
      <c r="B105" s="28">
        <v>0.6</v>
      </c>
      <c r="C105" s="25">
        <f t="shared" si="62"/>
        <v>0.802791329456779</v>
      </c>
      <c r="D105" s="3">
        <f t="shared" ref="D105:AB105" si="65">D$94*D37</f>
        <v>0</v>
      </c>
      <c r="E105" s="3">
        <f t="shared" si="65"/>
        <v>8.7851077602261878</v>
      </c>
      <c r="F105" s="3">
        <f t="shared" si="65"/>
        <v>10.523320715390945</v>
      </c>
      <c r="G105" s="3">
        <f t="shared" si="65"/>
        <v>12.183390348768741</v>
      </c>
      <c r="H105" s="3">
        <f t="shared" si="65"/>
        <v>12.957577915390154</v>
      </c>
      <c r="I105" s="3">
        <f t="shared" si="65"/>
        <v>13.098709587893254</v>
      </c>
      <c r="J105" s="3">
        <f t="shared" si="65"/>
        <v>13.225392203033048</v>
      </c>
      <c r="K105" s="3">
        <f t="shared" si="65"/>
        <v>13.323679739440774</v>
      </c>
      <c r="L105" s="3">
        <f t="shared" si="65"/>
        <v>13.366382426113701</v>
      </c>
      <c r="M105" s="3">
        <f t="shared" si="65"/>
        <v>13.303147465630261</v>
      </c>
      <c r="N105" s="3">
        <f t="shared" si="65"/>
        <v>13.04781376938152</v>
      </c>
      <c r="O105" s="3">
        <f t="shared" si="65"/>
        <v>12.471686746988931</v>
      </c>
      <c r="P105" s="3">
        <f t="shared" si="65"/>
        <v>11.427571935753118</v>
      </c>
      <c r="Q105" s="3">
        <f t="shared" si="65"/>
        <v>9.8376288146459245</v>
      </c>
      <c r="R105" s="3">
        <f t="shared" si="65"/>
        <v>7.8202623232312645</v>
      </c>
      <c r="S105" s="3">
        <f t="shared" si="65"/>
        <v>5.7088714204199489</v>
      </c>
      <c r="T105" s="3">
        <f t="shared" si="65"/>
        <v>3.8661041783621366</v>
      </c>
      <c r="U105" s="3">
        <f t="shared" si="65"/>
        <v>2.4786617170047416</v>
      </c>
      <c r="V105" s="3">
        <f t="shared" si="65"/>
        <v>1.5370862654400859</v>
      </c>
      <c r="W105" s="3">
        <f t="shared" si="65"/>
        <v>0.93773607388743518</v>
      </c>
      <c r="X105" s="3">
        <f t="shared" si="65"/>
        <v>0.56923976510120622</v>
      </c>
      <c r="Y105" s="3">
        <f t="shared" si="65"/>
        <v>0.34619995936006404</v>
      </c>
      <c r="Z105" s="3">
        <f t="shared" si="65"/>
        <v>0.21176943932305825</v>
      </c>
      <c r="AA105" s="3">
        <f t="shared" si="65"/>
        <v>0.13055696718379517</v>
      </c>
      <c r="AB105" s="13">
        <f t="shared" si="65"/>
        <v>8.1203094605930573E-2</v>
      </c>
    </row>
    <row r="106" spans="1:28" x14ac:dyDescent="0.25">
      <c r="B106" s="28">
        <v>0.65</v>
      </c>
      <c r="C106" s="25">
        <f t="shared" si="62"/>
        <v>0.7955088120846564</v>
      </c>
      <c r="D106" s="3">
        <f t="shared" ref="D106:AB106" si="66">D$94*D38</f>
        <v>0</v>
      </c>
      <c r="E106" s="3">
        <f t="shared" si="66"/>
        <v>8.6728134281243481</v>
      </c>
      <c r="F106" s="3">
        <f t="shared" si="66"/>
        <v>10.387458238085227</v>
      </c>
      <c r="G106" s="3">
        <f t="shared" si="66"/>
        <v>12.028340866549568</v>
      </c>
      <c r="H106" s="3">
        <f t="shared" si="66"/>
        <v>12.791378744290551</v>
      </c>
      <c r="I106" s="3">
        <f t="shared" si="66"/>
        <v>12.925382785957758</v>
      </c>
      <c r="J106" s="3">
        <f t="shared" si="66"/>
        <v>13.038217514774479</v>
      </c>
      <c r="K106" s="3">
        <f t="shared" si="66"/>
        <v>13.109403189787326</v>
      </c>
      <c r="L106" s="3">
        <f t="shared" si="66"/>
        <v>13.100232554009915</v>
      </c>
      <c r="M106" s="3">
        <f t="shared" si="66"/>
        <v>12.942173050970665</v>
      </c>
      <c r="N106" s="3">
        <f t="shared" si="66"/>
        <v>12.526228433697424</v>
      </c>
      <c r="O106" s="3">
        <f t="shared" si="66"/>
        <v>11.710131519477414</v>
      </c>
      <c r="P106" s="3">
        <f t="shared" si="66"/>
        <v>10.375677650769884</v>
      </c>
      <c r="Q106" s="3">
        <f t="shared" si="66"/>
        <v>8.5466540836678995</v>
      </c>
      <c r="R106" s="3">
        <f t="shared" si="66"/>
        <v>6.4717397703115012</v>
      </c>
      <c r="S106" s="3">
        <f t="shared" si="66"/>
        <v>4.5216631430064744</v>
      </c>
      <c r="T106" s="3">
        <f t="shared" si="66"/>
        <v>2.9647212466116977</v>
      </c>
      <c r="U106" s="3">
        <f t="shared" si="66"/>
        <v>1.8642680741418933</v>
      </c>
      <c r="V106" s="3">
        <f t="shared" si="66"/>
        <v>1.1458737325053452</v>
      </c>
      <c r="W106" s="3">
        <f t="shared" si="66"/>
        <v>0.69784419687942045</v>
      </c>
      <c r="X106" s="3">
        <f t="shared" si="66"/>
        <v>0.42470136323554714</v>
      </c>
      <c r="Y106" s="3">
        <f t="shared" si="66"/>
        <v>0.25958105330141568</v>
      </c>
      <c r="Z106" s="3">
        <f t="shared" si="66"/>
        <v>0.15977537710083894</v>
      </c>
      <c r="AA106" s="3">
        <f t="shared" si="66"/>
        <v>9.9173980820004878E-2</v>
      </c>
      <c r="AB106" s="13">
        <f t="shared" si="66"/>
        <v>6.21165274986595E-2</v>
      </c>
    </row>
    <row r="107" spans="1:28" x14ac:dyDescent="0.25">
      <c r="B107" s="28">
        <v>0.7</v>
      </c>
      <c r="C107" s="25">
        <f t="shared" si="62"/>
        <v>0.7882262947125338</v>
      </c>
      <c r="D107" s="3">
        <f t="shared" ref="D107:AB107" si="67">D$94*D39</f>
        <v>0</v>
      </c>
      <c r="E107" s="3">
        <f t="shared" si="67"/>
        <v>8.5231890798991206</v>
      </c>
      <c r="F107" s="3">
        <f t="shared" si="67"/>
        <v>10.207080058549733</v>
      </c>
      <c r="G107" s="3">
        <f t="shared" si="67"/>
        <v>11.821696020708124</v>
      </c>
      <c r="H107" s="3">
        <f t="shared" si="67"/>
        <v>12.566974274758197</v>
      </c>
      <c r="I107" s="3">
        <f t="shared" si="67"/>
        <v>12.68982687644564</v>
      </c>
      <c r="J107" s="3">
        <f t="shared" si="67"/>
        <v>12.781672228722693</v>
      </c>
      <c r="K107" s="3">
        <f t="shared" si="67"/>
        <v>12.813120402257226</v>
      </c>
      <c r="L107" s="3">
        <f t="shared" si="67"/>
        <v>12.730700385763535</v>
      </c>
      <c r="M107" s="3">
        <f t="shared" si="67"/>
        <v>12.445177148854642</v>
      </c>
      <c r="N107" s="3">
        <f t="shared" si="67"/>
        <v>11.828535980736701</v>
      </c>
      <c r="O107" s="3">
        <f t="shared" si="67"/>
        <v>10.745676090100995</v>
      </c>
      <c r="P107" s="3">
        <f t="shared" si="67"/>
        <v>9.1478171599559914</v>
      </c>
      <c r="Q107" s="3">
        <f t="shared" si="67"/>
        <v>7.1852931945988168</v>
      </c>
      <c r="R107" s="3">
        <f t="shared" si="67"/>
        <v>5.1925465209071833</v>
      </c>
      <c r="S107" s="3">
        <f t="shared" si="67"/>
        <v>3.4943467992260278</v>
      </c>
      <c r="T107" s="3">
        <f t="shared" si="67"/>
        <v>2.2353602374164141</v>
      </c>
      <c r="U107" s="3">
        <f t="shared" si="67"/>
        <v>1.387569766514684</v>
      </c>
      <c r="V107" s="3">
        <f t="shared" si="67"/>
        <v>0.84909001719339894</v>
      </c>
      <c r="W107" s="3">
        <f t="shared" si="67"/>
        <v>0.51758181790709179</v>
      </c>
      <c r="X107" s="3">
        <f t="shared" si="67"/>
        <v>0.31627051437542747</v>
      </c>
      <c r="Y107" s="3">
        <f t="shared" si="67"/>
        <v>0.19441522043643483</v>
      </c>
      <c r="Z107" s="3">
        <f t="shared" si="67"/>
        <v>0.12045022561693372</v>
      </c>
      <c r="AA107" s="3">
        <f t="shared" si="67"/>
        <v>7.5280634220805012E-2</v>
      </c>
      <c r="AB107" s="13">
        <f t="shared" si="67"/>
        <v>4.7479926311567333E-2</v>
      </c>
    </row>
    <row r="108" spans="1:28" x14ac:dyDescent="0.25">
      <c r="B108" s="28">
        <v>0.75</v>
      </c>
      <c r="C108" s="25">
        <f t="shared" si="62"/>
        <v>0.78094377734041132</v>
      </c>
      <c r="D108" s="3">
        <f t="shared" ref="D108:AB108" si="68">D$94*D40</f>
        <v>0</v>
      </c>
      <c r="E108" s="3">
        <f t="shared" si="68"/>
        <v>8.3478234707667252</v>
      </c>
      <c r="F108" s="3">
        <f t="shared" si="68"/>
        <v>9.9960760757420655</v>
      </c>
      <c r="G108" s="3">
        <f t="shared" si="68"/>
        <v>11.579424186858104</v>
      </c>
      <c r="H108" s="3">
        <f t="shared" si="68"/>
        <v>12.299769031199231</v>
      </c>
      <c r="I108" s="3">
        <f t="shared" si="68"/>
        <v>12.40614992391918</v>
      </c>
      <c r="J108" s="3">
        <f t="shared" si="68"/>
        <v>12.467427706884463</v>
      </c>
      <c r="K108" s="3">
        <f t="shared" si="68"/>
        <v>12.442473740959514</v>
      </c>
      <c r="L108" s="3">
        <f t="shared" si="68"/>
        <v>12.260025332864963</v>
      </c>
      <c r="M108" s="3">
        <f t="shared" si="68"/>
        <v>11.810421005167619</v>
      </c>
      <c r="N108" s="3">
        <f t="shared" si="68"/>
        <v>10.958735049333688</v>
      </c>
      <c r="O108" s="3">
        <f t="shared" si="68"/>
        <v>9.6094825398994246</v>
      </c>
      <c r="P108" s="3">
        <f t="shared" si="68"/>
        <v>7.8199161489700986</v>
      </c>
      <c r="Q108" s="3">
        <f t="shared" si="68"/>
        <v>5.8541385567528819</v>
      </c>
      <c r="R108" s="3">
        <f t="shared" si="68"/>
        <v>4.0565601548966059</v>
      </c>
      <c r="S108" s="3">
        <f t="shared" si="68"/>
        <v>2.6489819495009952</v>
      </c>
      <c r="T108" s="3">
        <f t="shared" si="68"/>
        <v>1.6650891296430956</v>
      </c>
      <c r="U108" s="3">
        <f t="shared" si="68"/>
        <v>1.025673249908378</v>
      </c>
      <c r="V108" s="3">
        <f t="shared" si="68"/>
        <v>0.62694582054163628</v>
      </c>
      <c r="W108" s="3">
        <f t="shared" si="68"/>
        <v>0.38326056627123228</v>
      </c>
      <c r="X108" s="3">
        <f t="shared" si="68"/>
        <v>0.23537994968207732</v>
      </c>
      <c r="Y108" s="3">
        <f t="shared" si="68"/>
        <v>0.1455897576035648</v>
      </c>
      <c r="Z108" s="3">
        <f t="shared" si="68"/>
        <v>9.0807898392258377E-2</v>
      </c>
      <c r="AA108" s="3">
        <f t="shared" si="68"/>
        <v>5.714638937709151E-2</v>
      </c>
      <c r="AB108" s="13">
        <f t="shared" si="68"/>
        <v>3.6290706564000491E-2</v>
      </c>
    </row>
    <row r="109" spans="1:28" ht="15.75" thickBot="1" x14ac:dyDescent="0.3">
      <c r="B109" s="29">
        <v>0.8</v>
      </c>
      <c r="C109" s="30">
        <f t="shared" si="62"/>
        <v>0.77366125996828872</v>
      </c>
      <c r="D109" s="14">
        <f t="shared" ref="D109:AB109" si="69">D$94*D41</f>
        <v>0</v>
      </c>
      <c r="E109" s="14">
        <f t="shared" si="69"/>
        <v>8.1556346251187524</v>
      </c>
      <c r="F109" s="14">
        <f t="shared" si="69"/>
        <v>9.7651125171438178</v>
      </c>
      <c r="G109" s="14">
        <f t="shared" si="69"/>
        <v>11.313768765093226</v>
      </c>
      <c r="H109" s="14">
        <f t="shared" si="69"/>
        <v>12.000537252298964</v>
      </c>
      <c r="I109" s="14">
        <f t="shared" si="69"/>
        <v>12.083234348380564</v>
      </c>
      <c r="J109" s="14">
        <f t="shared" si="69"/>
        <v>12.101092150815505</v>
      </c>
      <c r="K109" s="14">
        <f t="shared" si="69"/>
        <v>11.998232877589052</v>
      </c>
      <c r="L109" s="14">
        <f t="shared" si="69"/>
        <v>11.683952704212601</v>
      </c>
      <c r="M109" s="14">
        <f t="shared" si="69"/>
        <v>11.033997566024516</v>
      </c>
      <c r="N109" s="14">
        <f t="shared" si="69"/>
        <v>9.9295694155348375</v>
      </c>
      <c r="O109" s="14">
        <f t="shared" si="69"/>
        <v>8.3528084222773202</v>
      </c>
      <c r="P109" s="14">
        <f t="shared" si="69"/>
        <v>6.4801688180686874</v>
      </c>
      <c r="Q109" s="14">
        <f t="shared" si="69"/>
        <v>4.6358978691453405</v>
      </c>
      <c r="R109" s="14">
        <f t="shared" si="69"/>
        <v>3.1007822217737142</v>
      </c>
      <c r="S109" s="14">
        <f t="shared" si="69"/>
        <v>1.9795755723296053</v>
      </c>
      <c r="T109" s="14">
        <f t="shared" si="69"/>
        <v>1.2301076730561966</v>
      </c>
      <c r="U109" s="14">
        <f t="shared" si="69"/>
        <v>0.75501645890329372</v>
      </c>
      <c r="V109" s="14">
        <f t="shared" si="69"/>
        <v>0.46213201500009382</v>
      </c>
      <c r="W109" s="14">
        <f t="shared" si="69"/>
        <v>0.28369763345337473</v>
      </c>
      <c r="X109" s="14">
        <f t="shared" si="69"/>
        <v>0.17523484088254643</v>
      </c>
      <c r="Y109" s="14">
        <f t="shared" si="69"/>
        <v>0.10909277708276277</v>
      </c>
      <c r="Z109" s="14">
        <f t="shared" si="69"/>
        <v>6.8506818392893812E-2</v>
      </c>
      <c r="AA109" s="14">
        <f t="shared" si="69"/>
        <v>4.3407658633613649E-2</v>
      </c>
      <c r="AB109" s="15">
        <f t="shared" si="69"/>
        <v>2.7752588742796694E-2</v>
      </c>
    </row>
  </sheetData>
  <mergeCells count="3">
    <mergeCell ref="E75:V75"/>
    <mergeCell ref="D25:AB25"/>
    <mergeCell ref="D93:AB93"/>
  </mergeCells>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Equation.Lambda" shapeId="4098" r:id="rId4">
          <objectPr defaultSize="0" r:id="rId5">
            <anchor moveWithCells="1">
              <from>
                <xdr:col>19</xdr:col>
                <xdr:colOff>0</xdr:colOff>
                <xdr:row>110</xdr:row>
                <xdr:rowOff>0</xdr:rowOff>
              </from>
              <to>
                <xdr:col>19</xdr:col>
                <xdr:colOff>342900</xdr:colOff>
                <xdr:row>111</xdr:row>
                <xdr:rowOff>0</xdr:rowOff>
              </to>
            </anchor>
          </objectPr>
        </oleObject>
      </mc:Choice>
      <mc:Fallback>
        <oleObject progId="Equation.Lambda" shapeId="4098"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20"/>
  <sheetViews>
    <sheetView workbookViewId="0">
      <selection activeCell="A15" sqref="A15"/>
    </sheetView>
  </sheetViews>
  <sheetFormatPr defaultRowHeight="15" x14ac:dyDescent="0.25"/>
  <cols>
    <col min="2" max="2" width="20.140625" customWidth="1"/>
  </cols>
  <sheetData>
    <row r="5" spans="1:7" ht="18" x14ac:dyDescent="0.35">
      <c r="A5" s="3" t="s">
        <v>30</v>
      </c>
      <c r="B5" s="3" t="s">
        <v>26</v>
      </c>
      <c r="C5" s="16" t="s">
        <v>27</v>
      </c>
      <c r="D5" s="8" t="s">
        <v>33</v>
      </c>
      <c r="E5" s="8" t="s">
        <v>28</v>
      </c>
      <c r="F5" s="9" t="s">
        <v>32</v>
      </c>
      <c r="G5" s="8" t="s">
        <v>19</v>
      </c>
    </row>
    <row r="6" spans="1:7" x14ac:dyDescent="0.25">
      <c r="A6" s="3"/>
      <c r="B6" s="3" t="s">
        <v>18</v>
      </c>
      <c r="C6" s="3">
        <v>28</v>
      </c>
      <c r="D6" s="3">
        <v>0.105</v>
      </c>
      <c r="E6" s="3">
        <v>0.8</v>
      </c>
      <c r="F6" s="3"/>
      <c r="G6" s="3">
        <v>0.87</v>
      </c>
    </row>
    <row r="7" spans="1:7" x14ac:dyDescent="0.25">
      <c r="A7" s="3" t="s">
        <v>29</v>
      </c>
      <c r="B7" s="3" t="s">
        <v>20</v>
      </c>
      <c r="C7" s="3">
        <v>15</v>
      </c>
      <c r="D7" s="3">
        <v>0.13750000000000001</v>
      </c>
      <c r="E7" s="3">
        <v>0.65</v>
      </c>
      <c r="F7" s="3"/>
      <c r="G7" s="3"/>
    </row>
    <row r="8" spans="1:7" x14ac:dyDescent="0.25">
      <c r="A8" s="3" t="s">
        <v>29</v>
      </c>
      <c r="B8" s="3" t="s">
        <v>21</v>
      </c>
      <c r="C8" s="3">
        <v>24</v>
      </c>
      <c r="D8" s="3">
        <v>0.13</v>
      </c>
      <c r="E8" s="3">
        <v>0.73</v>
      </c>
      <c r="F8" s="3"/>
      <c r="G8" s="3"/>
    </row>
    <row r="9" spans="1:7" x14ac:dyDescent="0.25">
      <c r="A9" s="3" t="s">
        <v>29</v>
      </c>
      <c r="B9" s="3" t="s">
        <v>23</v>
      </c>
      <c r="C9" s="3">
        <v>37.5</v>
      </c>
      <c r="D9" s="3">
        <v>0.107</v>
      </c>
      <c r="E9" s="3">
        <v>0.85</v>
      </c>
      <c r="F9" s="3"/>
      <c r="G9" s="3"/>
    </row>
    <row r="10" spans="1:7" x14ac:dyDescent="0.25">
      <c r="A10" s="3" t="s">
        <v>29</v>
      </c>
      <c r="B10" s="3" t="s">
        <v>22</v>
      </c>
      <c r="C10" s="3">
        <v>25</v>
      </c>
      <c r="D10" s="3">
        <v>0.13</v>
      </c>
      <c r="E10" s="3">
        <v>0.82</v>
      </c>
      <c r="F10" s="3"/>
      <c r="G10" s="3"/>
    </row>
    <row r="11" spans="1:7" x14ac:dyDescent="0.25">
      <c r="A11" s="3" t="s">
        <v>29</v>
      </c>
      <c r="B11" s="3" t="s">
        <v>24</v>
      </c>
      <c r="C11" s="3">
        <v>31.5</v>
      </c>
      <c r="D11" s="3">
        <v>0.127</v>
      </c>
      <c r="E11" s="3">
        <v>0.82</v>
      </c>
      <c r="F11" s="3"/>
      <c r="G11" s="3">
        <v>0.93</v>
      </c>
    </row>
    <row r="12" spans="1:7" x14ac:dyDescent="0.25">
      <c r="A12" s="3" t="s">
        <v>29</v>
      </c>
      <c r="B12" s="3" t="s">
        <v>25</v>
      </c>
      <c r="C12" s="3">
        <v>35</v>
      </c>
      <c r="D12" s="3">
        <v>0.10299999999999999</v>
      </c>
      <c r="E12" s="3">
        <v>0.8</v>
      </c>
      <c r="F12" s="3"/>
      <c r="G12" s="3"/>
    </row>
    <row r="13" spans="1:7" x14ac:dyDescent="0.25">
      <c r="A13" s="3"/>
      <c r="B13" s="3" t="s">
        <v>31</v>
      </c>
      <c r="C13" s="3">
        <v>31.6</v>
      </c>
      <c r="D13" s="3"/>
      <c r="E13" s="3">
        <v>0.84</v>
      </c>
      <c r="F13" s="3">
        <v>9.49</v>
      </c>
      <c r="G13" s="3"/>
    </row>
    <row r="14" spans="1:7" x14ac:dyDescent="0.25">
      <c r="A14" s="3" t="s">
        <v>37</v>
      </c>
      <c r="B14" s="3" t="s">
        <v>34</v>
      </c>
      <c r="C14" s="3">
        <v>30</v>
      </c>
      <c r="D14" s="3">
        <v>12.8</v>
      </c>
      <c r="E14" s="3"/>
      <c r="F14" s="3"/>
      <c r="G14" s="3"/>
    </row>
    <row r="15" spans="1:7" x14ac:dyDescent="0.25">
      <c r="A15" s="3" t="s">
        <v>36</v>
      </c>
      <c r="B15" s="3" t="s">
        <v>35</v>
      </c>
      <c r="C15" s="3">
        <v>32.200000000000003</v>
      </c>
      <c r="D15" s="3">
        <v>0.94</v>
      </c>
      <c r="E15" s="3"/>
      <c r="F15" s="3"/>
      <c r="G15" s="3"/>
    </row>
    <row r="16" spans="1:7" x14ac:dyDescent="0.25">
      <c r="A16" s="3"/>
      <c r="B16" s="3"/>
      <c r="C16" s="3"/>
      <c r="D16" s="3"/>
      <c r="E16" s="3"/>
      <c r="F16" s="3"/>
      <c r="G16" s="3"/>
    </row>
    <row r="17" spans="1:7" x14ac:dyDescent="0.25">
      <c r="A17" s="3"/>
      <c r="B17" s="3"/>
      <c r="C17" s="3"/>
      <c r="D17" s="3"/>
      <c r="E17" s="3"/>
      <c r="F17" s="3"/>
      <c r="G17" s="3"/>
    </row>
    <row r="18" spans="1:7" x14ac:dyDescent="0.25">
      <c r="A18" s="3"/>
      <c r="B18" s="3"/>
      <c r="C18" s="3"/>
      <c r="D18" s="3"/>
      <c r="E18" s="3"/>
      <c r="F18" s="3"/>
      <c r="G18" s="3"/>
    </row>
    <row r="19" spans="1:7" x14ac:dyDescent="0.25">
      <c r="A19" s="3"/>
      <c r="B19" s="3"/>
      <c r="C19" s="3"/>
      <c r="D19" s="3"/>
      <c r="E19" s="3"/>
      <c r="F19" s="3"/>
      <c r="G19" s="3"/>
    </row>
    <row r="20" spans="1:7" x14ac:dyDescent="0.25">
      <c r="A20" s="3"/>
      <c r="B20" s="3"/>
      <c r="C20" s="3"/>
      <c r="D20" s="3"/>
      <c r="E20" s="3"/>
      <c r="F20" s="3"/>
      <c r="G20" s="3"/>
    </row>
  </sheetData>
  <pageMargins left="0.7" right="0.7" top="0.75" bottom="0.75" header="0.3" footer="0.3"/>
  <pageSetup orientation="portrait"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32"/>
  <sheetViews>
    <sheetView tabSelected="1" workbookViewId="0">
      <selection activeCell="D11" sqref="D11"/>
    </sheetView>
  </sheetViews>
  <sheetFormatPr defaultRowHeight="15" x14ac:dyDescent="0.25"/>
  <cols>
    <col min="1" max="1" width="22.5703125" customWidth="1"/>
    <col min="2" max="2" width="14.42578125" customWidth="1"/>
  </cols>
  <sheetData>
    <row r="4" spans="1:33" ht="15.75" thickBot="1" x14ac:dyDescent="0.3"/>
    <row r="5" spans="1:33" x14ac:dyDescent="0.25">
      <c r="A5" s="17" t="s">
        <v>4</v>
      </c>
      <c r="B5" s="65">
        <v>1.7500000000000002E-2</v>
      </c>
    </row>
    <row r="6" spans="1:33" x14ac:dyDescent="0.25">
      <c r="A6" s="4" t="s">
        <v>3</v>
      </c>
      <c r="B6" s="66">
        <v>10</v>
      </c>
    </row>
    <row r="7" spans="1:33" x14ac:dyDescent="0.25">
      <c r="A7" s="4" t="s">
        <v>1</v>
      </c>
      <c r="B7" s="66">
        <v>0.75</v>
      </c>
    </row>
    <row r="8" spans="1:33" ht="18" x14ac:dyDescent="0.35">
      <c r="A8" s="67" t="s">
        <v>9</v>
      </c>
      <c r="B8" s="68">
        <v>6.0000000000000001E-3</v>
      </c>
    </row>
    <row r="9" spans="1:33" ht="18" x14ac:dyDescent="0.35">
      <c r="A9" s="67" t="s">
        <v>10</v>
      </c>
      <c r="B9" s="68">
        <v>8.0000000000000002E-3</v>
      </c>
    </row>
    <row r="10" spans="1:33" ht="18" x14ac:dyDescent="0.35">
      <c r="A10" s="67" t="s">
        <v>11</v>
      </c>
      <c r="B10" s="68">
        <v>1.6E-2</v>
      </c>
    </row>
    <row r="11" spans="1:33" ht="18.75" thickBot="1" x14ac:dyDescent="0.4">
      <c r="A11" s="69" t="s">
        <v>12</v>
      </c>
      <c r="B11" s="74">
        <v>8.1000000000000003E-2</v>
      </c>
    </row>
    <row r="14" spans="1:33" ht="15.75" thickBot="1" x14ac:dyDescent="0.3"/>
    <row r="15" spans="1:33" ht="18" x14ac:dyDescent="0.35">
      <c r="B15" s="17"/>
      <c r="C15" s="70" t="s">
        <v>5</v>
      </c>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1"/>
    </row>
    <row r="16" spans="1:33" x14ac:dyDescent="0.25">
      <c r="B16" s="4"/>
      <c r="C16" s="3">
        <v>0</v>
      </c>
      <c r="D16" s="3">
        <v>0.1</v>
      </c>
      <c r="E16" s="3">
        <v>0.2</v>
      </c>
      <c r="F16" s="3">
        <v>0.3</v>
      </c>
      <c r="G16" s="3">
        <v>0.4</v>
      </c>
      <c r="H16" s="3">
        <v>0.5</v>
      </c>
      <c r="I16" s="3">
        <v>0.6</v>
      </c>
      <c r="J16" s="3">
        <v>0.7</v>
      </c>
      <c r="K16" s="3">
        <v>0.8</v>
      </c>
      <c r="L16" s="3">
        <v>0.9</v>
      </c>
      <c r="M16" s="3">
        <v>1</v>
      </c>
      <c r="N16" s="3">
        <v>1.1000000000000001</v>
      </c>
      <c r="O16" s="3">
        <v>1.2</v>
      </c>
      <c r="P16" s="3">
        <v>1.3</v>
      </c>
      <c r="Q16" s="3">
        <v>1.4</v>
      </c>
      <c r="R16" s="3">
        <v>1.5</v>
      </c>
      <c r="S16" s="3">
        <v>1.6</v>
      </c>
      <c r="T16" s="3">
        <v>1.7</v>
      </c>
      <c r="U16" s="3">
        <v>1.8</v>
      </c>
      <c r="V16" s="3">
        <v>1.9</v>
      </c>
      <c r="W16" s="3">
        <v>2</v>
      </c>
      <c r="X16" s="3">
        <v>2.1</v>
      </c>
      <c r="Y16" s="3">
        <v>2.2000000000000002</v>
      </c>
      <c r="Z16" s="3">
        <v>2.2999999999999998</v>
      </c>
      <c r="AA16" s="3">
        <v>2.4</v>
      </c>
      <c r="AB16" s="3">
        <v>2.5</v>
      </c>
      <c r="AC16" s="3">
        <v>2.6</v>
      </c>
      <c r="AD16" s="3">
        <v>2.7</v>
      </c>
      <c r="AE16" s="3">
        <v>2.8</v>
      </c>
      <c r="AF16" s="3">
        <v>2.9</v>
      </c>
      <c r="AG16" s="13">
        <v>3</v>
      </c>
    </row>
    <row r="17" spans="2:33" ht="18" x14ac:dyDescent="0.35">
      <c r="B17" s="4" t="s">
        <v>57</v>
      </c>
      <c r="C17" s="3">
        <f>C16^2</f>
        <v>0</v>
      </c>
      <c r="D17" s="3">
        <f t="shared" ref="D17:AG17" si="0">D16^2</f>
        <v>1.0000000000000002E-2</v>
      </c>
      <c r="E17" s="3">
        <f t="shared" si="0"/>
        <v>4.0000000000000008E-2</v>
      </c>
      <c r="F17" s="3">
        <f t="shared" si="0"/>
        <v>0.09</v>
      </c>
      <c r="G17" s="3">
        <f t="shared" si="0"/>
        <v>0.16000000000000003</v>
      </c>
      <c r="H17" s="3">
        <f t="shared" si="0"/>
        <v>0.25</v>
      </c>
      <c r="I17" s="3">
        <f t="shared" si="0"/>
        <v>0.36</v>
      </c>
      <c r="J17" s="3">
        <f t="shared" si="0"/>
        <v>0.48999999999999994</v>
      </c>
      <c r="K17" s="3">
        <f t="shared" si="0"/>
        <v>0.64000000000000012</v>
      </c>
      <c r="L17" s="3">
        <f t="shared" si="0"/>
        <v>0.81</v>
      </c>
      <c r="M17" s="3">
        <f t="shared" si="0"/>
        <v>1</v>
      </c>
      <c r="N17" s="3">
        <f t="shared" si="0"/>
        <v>1.2100000000000002</v>
      </c>
      <c r="O17" s="3">
        <f t="shared" si="0"/>
        <v>1.44</v>
      </c>
      <c r="P17" s="3">
        <f t="shared" si="0"/>
        <v>1.6900000000000002</v>
      </c>
      <c r="Q17" s="3">
        <f t="shared" si="0"/>
        <v>1.9599999999999997</v>
      </c>
      <c r="R17" s="3">
        <f t="shared" si="0"/>
        <v>2.25</v>
      </c>
      <c r="S17" s="3">
        <f t="shared" si="0"/>
        <v>2.5600000000000005</v>
      </c>
      <c r="T17" s="3">
        <f t="shared" si="0"/>
        <v>2.8899999999999997</v>
      </c>
      <c r="U17" s="3">
        <f t="shared" si="0"/>
        <v>3.24</v>
      </c>
      <c r="V17" s="3">
        <f t="shared" si="0"/>
        <v>3.61</v>
      </c>
      <c r="W17" s="3">
        <f t="shared" si="0"/>
        <v>4</v>
      </c>
      <c r="X17" s="3">
        <f t="shared" si="0"/>
        <v>4.41</v>
      </c>
      <c r="Y17" s="3">
        <f t="shared" si="0"/>
        <v>4.8400000000000007</v>
      </c>
      <c r="Z17" s="3">
        <f t="shared" si="0"/>
        <v>5.2899999999999991</v>
      </c>
      <c r="AA17" s="3">
        <f t="shared" si="0"/>
        <v>5.76</v>
      </c>
      <c r="AB17" s="3">
        <f t="shared" si="0"/>
        <v>6.25</v>
      </c>
      <c r="AC17" s="3">
        <f t="shared" si="0"/>
        <v>6.7600000000000007</v>
      </c>
      <c r="AD17" s="3">
        <f t="shared" si="0"/>
        <v>7.2900000000000009</v>
      </c>
      <c r="AE17" s="3">
        <f t="shared" si="0"/>
        <v>7.839999999999999</v>
      </c>
      <c r="AF17" s="3">
        <f t="shared" si="0"/>
        <v>8.41</v>
      </c>
      <c r="AG17" s="13">
        <f t="shared" si="0"/>
        <v>9</v>
      </c>
    </row>
    <row r="18" spans="2:33" ht="18" x14ac:dyDescent="0.35">
      <c r="B18" s="4" t="s">
        <v>58</v>
      </c>
      <c r="C18" s="3">
        <f t="shared" ref="C18:AG18" si="1">CD0+C17/(PI()*AR*e)</f>
        <v>1.4999999999999999E-2</v>
      </c>
      <c r="D18" s="3">
        <f t="shared" si="1"/>
        <v>1.5531908303701002E-2</v>
      </c>
      <c r="E18" s="3">
        <f t="shared" si="1"/>
        <v>1.7127633214804008E-2</v>
      </c>
      <c r="F18" s="3">
        <f t="shared" si="1"/>
        <v>1.9787174733309019E-2</v>
      </c>
      <c r="G18" s="3">
        <f t="shared" si="1"/>
        <v>2.3510532859216036E-2</v>
      </c>
      <c r="H18" s="3">
        <f t="shared" si="1"/>
        <v>2.8297707592525052E-2</v>
      </c>
      <c r="I18" s="3">
        <f t="shared" si="1"/>
        <v>3.4148698933236077E-2</v>
      </c>
      <c r="J18" s="3">
        <f t="shared" si="1"/>
        <v>4.1063506881349104E-2</v>
      </c>
      <c r="K18" s="3">
        <f t="shared" si="1"/>
        <v>4.9042131436864145E-2</v>
      </c>
      <c r="L18" s="3">
        <f t="shared" si="1"/>
        <v>5.808457259978117E-2</v>
      </c>
      <c r="M18" s="3">
        <f t="shared" si="1"/>
        <v>6.8190830370100208E-2</v>
      </c>
      <c r="N18" s="3">
        <f t="shared" si="1"/>
        <v>7.9360904747821259E-2</v>
      </c>
      <c r="O18" s="3">
        <f t="shared" si="1"/>
        <v>9.1594795732944295E-2</v>
      </c>
      <c r="P18" s="3">
        <f t="shared" si="1"/>
        <v>0.10489250332546937</v>
      </c>
      <c r="Q18" s="3">
        <f t="shared" si="1"/>
        <v>0.11925402752539641</v>
      </c>
      <c r="R18" s="3">
        <f t="shared" si="1"/>
        <v>0.13467936833272548</v>
      </c>
      <c r="S18" s="3">
        <f t="shared" si="1"/>
        <v>0.15116852574745659</v>
      </c>
      <c r="T18" s="3">
        <f t="shared" si="1"/>
        <v>0.16872149976958961</v>
      </c>
      <c r="U18" s="3">
        <f t="shared" si="1"/>
        <v>0.1873382903991247</v>
      </c>
      <c r="V18" s="3">
        <f t="shared" si="1"/>
        <v>0.20701889763606174</v>
      </c>
      <c r="W18" s="3">
        <f t="shared" si="1"/>
        <v>0.22776332148040085</v>
      </c>
      <c r="X18" s="3">
        <f t="shared" si="1"/>
        <v>0.24957156193214192</v>
      </c>
      <c r="Y18" s="3">
        <f t="shared" si="1"/>
        <v>0.27244361899128505</v>
      </c>
      <c r="Z18" s="3">
        <f t="shared" si="1"/>
        <v>0.29637949265783009</v>
      </c>
      <c r="AA18" s="3">
        <f t="shared" si="1"/>
        <v>0.3213791829317772</v>
      </c>
      <c r="AB18" s="3">
        <f t="shared" si="1"/>
        <v>0.34744268981312632</v>
      </c>
      <c r="AC18" s="3">
        <f t="shared" si="1"/>
        <v>0.3745700133018775</v>
      </c>
      <c r="AD18" s="3">
        <f t="shared" si="1"/>
        <v>0.40276115339803059</v>
      </c>
      <c r="AE18" s="3">
        <f t="shared" si="1"/>
        <v>0.43201611010158564</v>
      </c>
      <c r="AF18" s="3">
        <f t="shared" si="1"/>
        <v>0.46233488341254281</v>
      </c>
      <c r="AG18" s="13">
        <f t="shared" si="1"/>
        <v>0.49371747333090193</v>
      </c>
    </row>
    <row r="19" spans="2:33" ht="18" x14ac:dyDescent="0.35">
      <c r="B19" s="72" t="s">
        <v>59</v>
      </c>
      <c r="C19" s="3">
        <f t="shared" ref="C19" si="2">C18+CDslats</f>
        <v>2.0999999999999998E-2</v>
      </c>
      <c r="D19" s="3">
        <f t="shared" ref="D19" si="3">D18+CDslats</f>
        <v>2.1531908303701004E-2</v>
      </c>
      <c r="E19" s="3">
        <f t="shared" ref="E19" si="4">E18+CDslats</f>
        <v>2.312763321480401E-2</v>
      </c>
      <c r="F19" s="3">
        <f t="shared" ref="F19" si="5">F18+CDslats</f>
        <v>2.5787174733309021E-2</v>
      </c>
      <c r="G19" s="3">
        <f t="shared" ref="G19" si="6">G18+CDslats</f>
        <v>2.9510532859216038E-2</v>
      </c>
      <c r="H19" s="3">
        <f t="shared" ref="H19" si="7">H18+CDslats</f>
        <v>3.4297707592525054E-2</v>
      </c>
      <c r="I19" s="3">
        <f t="shared" ref="I19" si="8">I18+CDslats</f>
        <v>4.0148698933236075E-2</v>
      </c>
      <c r="J19" s="3">
        <f t="shared" ref="J19:AG19" si="9">J18+CDslats</f>
        <v>4.7063506881349103E-2</v>
      </c>
      <c r="K19" s="3">
        <f t="shared" si="9"/>
        <v>5.5042131436864143E-2</v>
      </c>
      <c r="L19" s="3">
        <f t="shared" si="9"/>
        <v>6.4084572599781175E-2</v>
      </c>
      <c r="M19" s="3">
        <f t="shared" si="9"/>
        <v>7.4190830370100214E-2</v>
      </c>
      <c r="N19" s="3">
        <f t="shared" si="9"/>
        <v>8.5360904747821265E-2</v>
      </c>
      <c r="O19" s="3">
        <f t="shared" si="9"/>
        <v>9.7594795732944301E-2</v>
      </c>
      <c r="P19" s="3">
        <f t="shared" si="9"/>
        <v>0.11089250332546938</v>
      </c>
      <c r="Q19" s="3">
        <f t="shared" si="9"/>
        <v>0.12525402752539641</v>
      </c>
      <c r="R19" s="3">
        <f t="shared" si="9"/>
        <v>0.14067936833272549</v>
      </c>
      <c r="S19" s="3">
        <f t="shared" si="9"/>
        <v>0.1571685257474566</v>
      </c>
      <c r="T19" s="3">
        <f t="shared" si="9"/>
        <v>0.17472149976958962</v>
      </c>
      <c r="U19" s="3">
        <f t="shared" si="9"/>
        <v>0.1933382903991247</v>
      </c>
      <c r="V19" s="3">
        <f t="shared" si="9"/>
        <v>0.21301889763606174</v>
      </c>
      <c r="W19" s="3">
        <f t="shared" si="9"/>
        <v>0.23376332148040085</v>
      </c>
      <c r="X19" s="3">
        <f t="shared" si="9"/>
        <v>0.25557156193214192</v>
      </c>
      <c r="Y19" s="3">
        <f t="shared" si="9"/>
        <v>0.27844361899128506</v>
      </c>
      <c r="Z19" s="3">
        <f t="shared" si="9"/>
        <v>0.3023794926578301</v>
      </c>
      <c r="AA19" s="3">
        <f t="shared" si="9"/>
        <v>0.3273791829317772</v>
      </c>
      <c r="AB19" s="3">
        <f t="shared" si="9"/>
        <v>0.35344268981312632</v>
      </c>
      <c r="AC19" s="3">
        <f t="shared" si="9"/>
        <v>0.38057001330187751</v>
      </c>
      <c r="AD19" s="3">
        <f t="shared" si="9"/>
        <v>0.4087611533980306</v>
      </c>
      <c r="AE19" s="3">
        <f t="shared" si="9"/>
        <v>0.43801611010158564</v>
      </c>
      <c r="AF19" s="3">
        <f t="shared" si="9"/>
        <v>0.46833488341254281</v>
      </c>
      <c r="AG19" s="13">
        <f t="shared" si="9"/>
        <v>0.49971747333090194</v>
      </c>
    </row>
    <row r="20" spans="2:33" ht="18" x14ac:dyDescent="0.35">
      <c r="B20" s="72" t="s">
        <v>60</v>
      </c>
      <c r="C20" s="3">
        <f t="shared" ref="C20:AG20" si="10">C19+CDflaps15</f>
        <v>2.8999999999999998E-2</v>
      </c>
      <c r="D20" s="3">
        <f>D19+CDflaps15</f>
        <v>2.9531908303701004E-2</v>
      </c>
      <c r="E20" s="3">
        <f t="shared" si="10"/>
        <v>3.112763321480401E-2</v>
      </c>
      <c r="F20" s="3">
        <f t="shared" si="10"/>
        <v>3.3787174733309021E-2</v>
      </c>
      <c r="G20" s="3">
        <f t="shared" si="10"/>
        <v>3.7510532859216038E-2</v>
      </c>
      <c r="H20" s="3">
        <f t="shared" si="10"/>
        <v>4.2297707592525054E-2</v>
      </c>
      <c r="I20" s="3">
        <f t="shared" si="10"/>
        <v>4.8148698933236075E-2</v>
      </c>
      <c r="J20" s="3">
        <f t="shared" si="10"/>
        <v>5.5063506881349103E-2</v>
      </c>
      <c r="K20" s="3">
        <f t="shared" si="10"/>
        <v>6.3042131436864143E-2</v>
      </c>
      <c r="L20" s="3">
        <f t="shared" si="10"/>
        <v>7.2084572599781183E-2</v>
      </c>
      <c r="M20" s="3">
        <f t="shared" si="10"/>
        <v>8.2190830370100221E-2</v>
      </c>
      <c r="N20" s="3">
        <f t="shared" si="10"/>
        <v>9.3360904747821272E-2</v>
      </c>
      <c r="O20" s="3">
        <f t="shared" si="10"/>
        <v>0.10559479573294431</v>
      </c>
      <c r="P20" s="3">
        <f t="shared" si="10"/>
        <v>0.11889250332546938</v>
      </c>
      <c r="Q20" s="3">
        <f t="shared" si="10"/>
        <v>0.13325402752539642</v>
      </c>
      <c r="R20" s="3">
        <f t="shared" si="10"/>
        <v>0.14867936833272549</v>
      </c>
      <c r="S20" s="3">
        <f t="shared" si="10"/>
        <v>0.16516852574745661</v>
      </c>
      <c r="T20" s="3">
        <f t="shared" si="10"/>
        <v>0.18272149976958962</v>
      </c>
      <c r="U20" s="3">
        <f t="shared" si="10"/>
        <v>0.20133829039912471</v>
      </c>
      <c r="V20" s="3">
        <f t="shared" si="10"/>
        <v>0.22101889763606175</v>
      </c>
      <c r="W20" s="3">
        <f t="shared" si="10"/>
        <v>0.24176332148040086</v>
      </c>
      <c r="X20" s="3">
        <f t="shared" si="10"/>
        <v>0.26357156193214193</v>
      </c>
      <c r="Y20" s="3">
        <f t="shared" si="10"/>
        <v>0.28644361899128506</v>
      </c>
      <c r="Z20" s="3">
        <f t="shared" si="10"/>
        <v>0.3103794926578301</v>
      </c>
      <c r="AA20" s="3">
        <f t="shared" si="10"/>
        <v>0.33537918293177721</v>
      </c>
      <c r="AB20" s="3">
        <f t="shared" si="10"/>
        <v>0.36144268981312633</v>
      </c>
      <c r="AC20" s="3">
        <f t="shared" si="10"/>
        <v>0.38857001330187751</v>
      </c>
      <c r="AD20" s="3">
        <f t="shared" si="10"/>
        <v>0.4167611533980306</v>
      </c>
      <c r="AE20" s="3">
        <f t="shared" si="10"/>
        <v>0.44601611010158565</v>
      </c>
      <c r="AF20" s="3">
        <f t="shared" si="10"/>
        <v>0.47633488341254282</v>
      </c>
      <c r="AG20" s="13">
        <f t="shared" si="10"/>
        <v>0.50771747333090189</v>
      </c>
    </row>
    <row r="21" spans="2:33" ht="18" x14ac:dyDescent="0.35">
      <c r="B21" s="72" t="s">
        <v>61</v>
      </c>
      <c r="C21" s="3"/>
      <c r="D21" s="3"/>
      <c r="E21" s="3"/>
      <c r="F21" s="3"/>
      <c r="G21" s="3"/>
      <c r="H21" s="3"/>
      <c r="I21" s="3"/>
      <c r="J21" s="3"/>
      <c r="K21" s="3"/>
      <c r="L21" s="3"/>
      <c r="M21" s="3"/>
      <c r="N21" s="3">
        <f t="shared" ref="N21:AG21" si="11">N19+CDflaps25</f>
        <v>0.10136090474782126</v>
      </c>
      <c r="O21" s="3">
        <f t="shared" si="11"/>
        <v>0.1135947957329443</v>
      </c>
      <c r="P21" s="3">
        <f t="shared" si="11"/>
        <v>0.12689250332546936</v>
      </c>
      <c r="Q21" s="3">
        <f t="shared" si="11"/>
        <v>0.1412540275253964</v>
      </c>
      <c r="R21" s="3">
        <f t="shared" si="11"/>
        <v>0.1566793683327255</v>
      </c>
      <c r="S21" s="3">
        <f t="shared" si="11"/>
        <v>0.17316852574745661</v>
      </c>
      <c r="T21" s="3">
        <f t="shared" si="11"/>
        <v>0.19072149976958963</v>
      </c>
      <c r="U21" s="3">
        <f t="shared" si="11"/>
        <v>0.20933829039912472</v>
      </c>
      <c r="V21" s="3">
        <f t="shared" si="11"/>
        <v>0.22901889763606176</v>
      </c>
      <c r="W21" s="3">
        <f t="shared" si="11"/>
        <v>0.24976332148040087</v>
      </c>
      <c r="X21" s="3">
        <f t="shared" si="11"/>
        <v>0.27157156193214194</v>
      </c>
      <c r="Y21" s="3">
        <f t="shared" si="11"/>
        <v>0.29444361899128507</v>
      </c>
      <c r="Z21" s="3">
        <f t="shared" si="11"/>
        <v>0.31837949265783011</v>
      </c>
      <c r="AA21" s="3">
        <f t="shared" si="11"/>
        <v>0.34337918293177722</v>
      </c>
      <c r="AB21" s="3">
        <f t="shared" si="11"/>
        <v>0.36944268981312633</v>
      </c>
      <c r="AC21" s="3">
        <f t="shared" si="11"/>
        <v>0.39657001330187752</v>
      </c>
      <c r="AD21" s="3">
        <f t="shared" si="11"/>
        <v>0.42476115339803061</v>
      </c>
      <c r="AE21" s="3">
        <f t="shared" si="11"/>
        <v>0.45401611010158566</v>
      </c>
      <c r="AF21" s="3">
        <f t="shared" si="11"/>
        <v>0.48433488341254283</v>
      </c>
      <c r="AG21" s="13">
        <f t="shared" si="11"/>
        <v>0.5157174733309019</v>
      </c>
    </row>
    <row r="22" spans="2:33" ht="18.75" thickBot="1" x14ac:dyDescent="0.4">
      <c r="B22" s="73" t="s">
        <v>62</v>
      </c>
      <c r="C22" s="14"/>
      <c r="D22" s="14"/>
      <c r="E22" s="14"/>
      <c r="F22" s="14"/>
      <c r="G22" s="14"/>
      <c r="H22" s="14"/>
      <c r="I22" s="14"/>
      <c r="J22" s="14"/>
      <c r="K22" s="14"/>
      <c r="L22" s="14"/>
      <c r="M22" s="14"/>
      <c r="N22" s="14"/>
      <c r="O22" s="14"/>
      <c r="P22" s="14">
        <f t="shared" ref="P22:AG22" si="12">P19+CDflaps50</f>
        <v>0.19189250332546937</v>
      </c>
      <c r="Q22" s="14">
        <f t="shared" si="12"/>
        <v>0.2062540275253964</v>
      </c>
      <c r="R22" s="14">
        <f t="shared" si="12"/>
        <v>0.2216793683327255</v>
      </c>
      <c r="S22" s="14">
        <f t="shared" si="12"/>
        <v>0.23816852574745662</v>
      </c>
      <c r="T22" s="14">
        <f t="shared" si="12"/>
        <v>0.25572149976958963</v>
      </c>
      <c r="U22" s="14">
        <f t="shared" si="12"/>
        <v>0.27433829039912472</v>
      </c>
      <c r="V22" s="14">
        <f t="shared" si="12"/>
        <v>0.29401889763606176</v>
      </c>
      <c r="W22" s="14">
        <f t="shared" si="12"/>
        <v>0.31476332148040087</v>
      </c>
      <c r="X22" s="14">
        <f t="shared" si="12"/>
        <v>0.33657156193214194</v>
      </c>
      <c r="Y22" s="14">
        <f t="shared" si="12"/>
        <v>0.35944361899128507</v>
      </c>
      <c r="Z22" s="14">
        <f t="shared" si="12"/>
        <v>0.38337949265783011</v>
      </c>
      <c r="AA22" s="14">
        <f t="shared" si="12"/>
        <v>0.40837918293177722</v>
      </c>
      <c r="AB22" s="14">
        <f t="shared" si="12"/>
        <v>0.43444268981312634</v>
      </c>
      <c r="AC22" s="14">
        <f t="shared" si="12"/>
        <v>0.46157001330187752</v>
      </c>
      <c r="AD22" s="14">
        <f t="shared" si="12"/>
        <v>0.48976115339803061</v>
      </c>
      <c r="AE22" s="14">
        <f t="shared" si="12"/>
        <v>0.51901611010158566</v>
      </c>
      <c r="AF22" s="14">
        <f t="shared" si="12"/>
        <v>0.54933488341254277</v>
      </c>
      <c r="AG22" s="15">
        <f t="shared" si="12"/>
        <v>0.58071747333090196</v>
      </c>
    </row>
    <row r="24" spans="2:33" ht="15.75" thickBot="1" x14ac:dyDescent="0.3"/>
    <row r="25" spans="2:33" ht="18" x14ac:dyDescent="0.35">
      <c r="B25" s="17"/>
      <c r="C25" s="70" t="s">
        <v>5</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1"/>
    </row>
    <row r="26" spans="2:33" x14ac:dyDescent="0.25">
      <c r="B26" s="4"/>
      <c r="C26" s="3">
        <v>0</v>
      </c>
      <c r="D26" s="3">
        <v>0.1</v>
      </c>
      <c r="E26" s="3">
        <v>0.2</v>
      </c>
      <c r="F26" s="3">
        <v>0.3</v>
      </c>
      <c r="G26" s="3">
        <v>0.4</v>
      </c>
      <c r="H26" s="3">
        <v>0.5</v>
      </c>
      <c r="I26" s="3">
        <v>0.6</v>
      </c>
      <c r="J26" s="3">
        <v>0.7</v>
      </c>
      <c r="K26" s="3">
        <v>0.8</v>
      </c>
      <c r="L26" s="3">
        <v>0.9</v>
      </c>
      <c r="M26" s="3">
        <v>1</v>
      </c>
      <c r="N26" s="3">
        <v>1.1000000000000001</v>
      </c>
      <c r="O26" s="3">
        <v>1.2</v>
      </c>
      <c r="P26" s="3">
        <v>1.3</v>
      </c>
      <c r="Q26" s="3">
        <v>1.4</v>
      </c>
      <c r="R26" s="3">
        <v>1.5</v>
      </c>
      <c r="S26" s="3">
        <v>1.6</v>
      </c>
      <c r="T26" s="3">
        <v>1.7</v>
      </c>
      <c r="U26" s="3">
        <v>1.8</v>
      </c>
      <c r="V26" s="3">
        <v>1.9</v>
      </c>
      <c r="W26" s="3">
        <v>2</v>
      </c>
      <c r="X26" s="3">
        <v>2.1</v>
      </c>
      <c r="Y26" s="3">
        <v>2.2000000000000002</v>
      </c>
      <c r="Z26" s="3">
        <v>2.2999999999999998</v>
      </c>
      <c r="AA26" s="3">
        <v>2.4</v>
      </c>
      <c r="AB26" s="3">
        <v>2.5</v>
      </c>
      <c r="AC26" s="3">
        <v>2.6</v>
      </c>
      <c r="AD26" s="3">
        <v>2.7</v>
      </c>
      <c r="AE26" s="3">
        <v>2.8</v>
      </c>
      <c r="AF26" s="3">
        <v>2.9</v>
      </c>
      <c r="AG26" s="13">
        <v>3</v>
      </c>
    </row>
    <row r="27" spans="2:33" ht="18" x14ac:dyDescent="0.35">
      <c r="B27" s="4" t="s">
        <v>57</v>
      </c>
      <c r="C27" s="3">
        <f>C26^2</f>
        <v>0</v>
      </c>
      <c r="D27" s="3">
        <f t="shared" ref="D27" si="13">D26^2</f>
        <v>1.0000000000000002E-2</v>
      </c>
      <c r="E27" s="3">
        <f t="shared" ref="E27" si="14">E26^2</f>
        <v>4.0000000000000008E-2</v>
      </c>
      <c r="F27" s="3">
        <f t="shared" ref="F27" si="15">F26^2</f>
        <v>0.09</v>
      </c>
      <c r="G27" s="3">
        <f t="shared" ref="G27" si="16">G26^2</f>
        <v>0.16000000000000003</v>
      </c>
      <c r="H27" s="3">
        <f t="shared" ref="H27" si="17">H26^2</f>
        <v>0.25</v>
      </c>
      <c r="I27" s="3">
        <f t="shared" ref="I27" si="18">I26^2</f>
        <v>0.36</v>
      </c>
      <c r="J27" s="3">
        <f t="shared" ref="J27" si="19">J26^2</f>
        <v>0.48999999999999994</v>
      </c>
      <c r="K27" s="3">
        <f t="shared" ref="K27" si="20">K26^2</f>
        <v>0.64000000000000012</v>
      </c>
      <c r="L27" s="3">
        <f t="shared" ref="L27" si="21">L26^2</f>
        <v>0.81</v>
      </c>
      <c r="M27" s="3">
        <f t="shared" ref="M27" si="22">M26^2</f>
        <v>1</v>
      </c>
      <c r="N27" s="3">
        <f t="shared" ref="N27" si="23">N26^2</f>
        <v>1.2100000000000002</v>
      </c>
      <c r="O27" s="3">
        <f t="shared" ref="O27" si="24">O26^2</f>
        <v>1.44</v>
      </c>
      <c r="P27" s="3">
        <f t="shared" ref="P27" si="25">P26^2</f>
        <v>1.6900000000000002</v>
      </c>
      <c r="Q27" s="3">
        <f t="shared" ref="Q27" si="26">Q26^2</f>
        <v>1.9599999999999997</v>
      </c>
      <c r="R27" s="3">
        <f t="shared" ref="R27" si="27">R26^2</f>
        <v>2.25</v>
      </c>
      <c r="S27" s="3">
        <f t="shared" ref="S27" si="28">S26^2</f>
        <v>2.5600000000000005</v>
      </c>
      <c r="T27" s="3">
        <f t="shared" ref="T27" si="29">T26^2</f>
        <v>2.8899999999999997</v>
      </c>
      <c r="U27" s="3">
        <f t="shared" ref="U27" si="30">U26^2</f>
        <v>3.24</v>
      </c>
      <c r="V27" s="3">
        <f t="shared" ref="V27" si="31">V26^2</f>
        <v>3.61</v>
      </c>
      <c r="W27" s="3">
        <f t="shared" ref="W27" si="32">W26^2</f>
        <v>4</v>
      </c>
      <c r="X27" s="3">
        <f t="shared" ref="X27" si="33">X26^2</f>
        <v>4.41</v>
      </c>
      <c r="Y27" s="3">
        <f t="shared" ref="Y27" si="34">Y26^2</f>
        <v>4.8400000000000007</v>
      </c>
      <c r="Z27" s="3">
        <f t="shared" ref="Z27" si="35">Z26^2</f>
        <v>5.2899999999999991</v>
      </c>
      <c r="AA27" s="3">
        <f t="shared" ref="AA27" si="36">AA26^2</f>
        <v>5.76</v>
      </c>
      <c r="AB27" s="3">
        <f t="shared" ref="AB27" si="37">AB26^2</f>
        <v>6.25</v>
      </c>
      <c r="AC27" s="3">
        <f t="shared" ref="AC27" si="38">AC26^2</f>
        <v>6.7600000000000007</v>
      </c>
      <c r="AD27" s="3">
        <f t="shared" ref="AD27" si="39">AD26^2</f>
        <v>7.2900000000000009</v>
      </c>
      <c r="AE27" s="3">
        <f t="shared" ref="AE27" si="40">AE26^2</f>
        <v>7.839999999999999</v>
      </c>
      <c r="AF27" s="3">
        <f t="shared" ref="AF27" si="41">AF26^2</f>
        <v>8.41</v>
      </c>
      <c r="AG27" s="13">
        <f t="shared" ref="AG27" si="42">AG26^2</f>
        <v>9</v>
      </c>
    </row>
    <row r="28" spans="2:33" ht="18" x14ac:dyDescent="0.35">
      <c r="B28" s="4" t="s">
        <v>58</v>
      </c>
      <c r="C28" s="3">
        <f t="shared" ref="C28:AG28" si="43">C26/(CD0+C27/(PI()*AR*e))</f>
        <v>0</v>
      </c>
      <c r="D28" s="3">
        <f t="shared" si="43"/>
        <v>6.4383588960650524</v>
      </c>
      <c r="E28" s="3">
        <f t="shared" si="43"/>
        <v>11.677036604633329</v>
      </c>
      <c r="F28" s="3">
        <f t="shared" si="43"/>
        <v>15.161335766393712</v>
      </c>
      <c r="G28" s="3">
        <f t="shared" si="43"/>
        <v>17.013650962113417</v>
      </c>
      <c r="H28" s="3">
        <f t="shared" si="43"/>
        <v>17.669275801410745</v>
      </c>
      <c r="I28" s="3">
        <f t="shared" si="43"/>
        <v>17.570215520452376</v>
      </c>
      <c r="J28" s="3">
        <f t="shared" si="43"/>
        <v>17.046766171788835</v>
      </c>
      <c r="K28" s="3">
        <f t="shared" si="43"/>
        <v>16.312504708933869</v>
      </c>
      <c r="L28" s="3">
        <f t="shared" si="43"/>
        <v>15.49464788526981</v>
      </c>
      <c r="M28" s="3">
        <f t="shared" si="43"/>
        <v>14.664728301042546</v>
      </c>
      <c r="N28" s="3">
        <f t="shared" si="43"/>
        <v>13.860729076809058</v>
      </c>
      <c r="O28" s="3">
        <f t="shared" si="43"/>
        <v>13.101181026690044</v>
      </c>
      <c r="P28" s="3">
        <f t="shared" si="43"/>
        <v>12.393640715831232</v>
      </c>
      <c r="Q28" s="3">
        <f t="shared" si="43"/>
        <v>11.739645436309102</v>
      </c>
      <c r="R28" s="3">
        <f t="shared" si="43"/>
        <v>11.137563374178061</v>
      </c>
      <c r="S28" s="3">
        <f t="shared" si="43"/>
        <v>10.584213824198917</v>
      </c>
      <c r="T28" s="3">
        <f t="shared" si="43"/>
        <v>10.07577577440672</v>
      </c>
      <c r="U28" s="3">
        <f t="shared" si="43"/>
        <v>9.6082866784206029</v>
      </c>
      <c r="V28" s="3">
        <f t="shared" si="43"/>
        <v>9.1779060834349107</v>
      </c>
      <c r="W28" s="3">
        <f t="shared" si="43"/>
        <v>8.7810451085825996</v>
      </c>
      <c r="X28" s="3">
        <f t="shared" si="43"/>
        <v>8.4144202317850088</v>
      </c>
      <c r="Y28" s="3">
        <f t="shared" si="43"/>
        <v>8.0750652488960437</v>
      </c>
      <c r="Z28" s="3">
        <f t="shared" si="43"/>
        <v>7.7603209971593685</v>
      </c>
      <c r="AA28" s="3">
        <f t="shared" si="43"/>
        <v>7.4678141194648413</v>
      </c>
      <c r="AB28" s="3">
        <f t="shared" si="43"/>
        <v>7.1954312849253981</v>
      </c>
      <c r="AC28" s="3">
        <f t="shared" si="43"/>
        <v>6.9412924357737626</v>
      </c>
      <c r="AD28" s="3">
        <f t="shared" si="43"/>
        <v>6.7037249675658579</v>
      </c>
      <c r="AE28" s="3">
        <f t="shared" si="43"/>
        <v>6.4812397837238036</v>
      </c>
      <c r="AF28" s="3">
        <f t="shared" si="43"/>
        <v>6.2725096116364663</v>
      </c>
      <c r="AG28" s="13">
        <f t="shared" si="43"/>
        <v>6.0763496575486284</v>
      </c>
    </row>
    <row r="29" spans="2:33" ht="18" x14ac:dyDescent="0.35">
      <c r="B29" s="72" t="s">
        <v>59</v>
      </c>
      <c r="C29" s="3">
        <f t="shared" ref="C29:AG29" si="44">C26/(C28+CDslats)</f>
        <v>0</v>
      </c>
      <c r="D29" s="3">
        <f t="shared" si="44"/>
        <v>1.5517447369521946E-2</v>
      </c>
      <c r="E29" s="3">
        <f t="shared" si="44"/>
        <v>1.7118837059937209E-2</v>
      </c>
      <c r="F29" s="3">
        <f t="shared" si="44"/>
        <v>1.977934718533168E-2</v>
      </c>
      <c r="G29" s="3">
        <f t="shared" si="44"/>
        <v>2.3502244604805336E-2</v>
      </c>
      <c r="H29" s="3">
        <f t="shared" si="44"/>
        <v>2.8288101731351354E-2</v>
      </c>
      <c r="I29" s="3">
        <f t="shared" si="44"/>
        <v>3.4137041577682999E-2</v>
      </c>
      <c r="J29" s="3">
        <f t="shared" si="44"/>
        <v>4.1049058724445642E-2</v>
      </c>
      <c r="K29" s="3">
        <f t="shared" si="44"/>
        <v>4.9024099589346885E-2</v>
      </c>
      <c r="L29" s="3">
        <f t="shared" si="44"/>
        <v>5.8062089188882587E-2</v>
      </c>
      <c r="M29" s="3">
        <f t="shared" si="44"/>
        <v>6.8162941844471137E-2</v>
      </c>
      <c r="N29" s="3">
        <f t="shared" si="44"/>
        <v>7.9326566049354633E-2</v>
      </c>
      <c r="O29" s="3">
        <f t="shared" si="44"/>
        <v>9.1552866902230912E-2</v>
      </c>
      <c r="P29" s="3">
        <f t="shared" si="44"/>
        <v>0.10484174741774784</v>
      </c>
      <c r="Q29" s="3">
        <f t="shared" si="44"/>
        <v>0.11919310927539198</v>
      </c>
      <c r="R29" s="3">
        <f t="shared" si="44"/>
        <v>0.13460685326883948</v>
      </c>
      <c r="S29" s="3">
        <f t="shared" si="44"/>
        <v>0.15108287958680852</v>
      </c>
      <c r="T29" s="3">
        <f t="shared" si="44"/>
        <v>0.1686210879947922</v>
      </c>
      <c r="U29" s="3">
        <f t="shared" si="44"/>
        <v>0.18722137795621641</v>
      </c>
      <c r="V29" s="3">
        <f t="shared" si="44"/>
        <v>0.20688364871533757</v>
      </c>
      <c r="W29" s="3">
        <f t="shared" si="44"/>
        <v>0.22760779935527284</v>
      </c>
      <c r="X29" s="3">
        <f t="shared" si="44"/>
        <v>0.24939372883944891</v>
      </c>
      <c r="Y29" s="3">
        <f t="shared" si="44"/>
        <v>0.27224133604174805</v>
      </c>
      <c r="Z29" s="3">
        <f t="shared" si="44"/>
        <v>0.29615051976878809</v>
      </c>
      <c r="AA29" s="3">
        <f t="shared" si="44"/>
        <v>0.32112117877663388</v>
      </c>
      <c r="AB29" s="3">
        <f t="shared" si="44"/>
        <v>0.34715321178349595</v>
      </c>
      <c r="AC29" s="3">
        <f t="shared" si="44"/>
        <v>0.3742465174794995</v>
      </c>
      <c r="AD29" s="3">
        <f t="shared" si="44"/>
        <v>0.40240099453428135</v>
      </c>
      <c r="AE29" s="3">
        <f t="shared" si="44"/>
        <v>0.43161654160295959</v>
      </c>
      <c r="AF29" s="3">
        <f t="shared" si="44"/>
        <v>0.46189305733086666</v>
      </c>
      <c r="AG29" s="13">
        <f t="shared" si="44"/>
        <v>0.49323044035733571</v>
      </c>
    </row>
    <row r="30" spans="2:33" ht="18" x14ac:dyDescent="0.35">
      <c r="B30" s="72" t="s">
        <v>60</v>
      </c>
      <c r="C30" s="3">
        <f t="shared" ref="C30:AG30" si="45">C26/(C29+CDflaps15)</f>
        <v>0</v>
      </c>
      <c r="D30" s="3">
        <f t="shared" si="45"/>
        <v>4.2521621683141362</v>
      </c>
      <c r="E30" s="3">
        <f t="shared" si="45"/>
        <v>7.9621520503823815</v>
      </c>
      <c r="F30" s="3">
        <f t="shared" si="45"/>
        <v>10.799389848815775</v>
      </c>
      <c r="G30" s="3">
        <f t="shared" si="45"/>
        <v>12.697507908340736</v>
      </c>
      <c r="H30" s="3">
        <f t="shared" si="45"/>
        <v>13.778620984409926</v>
      </c>
      <c r="I30" s="3">
        <f t="shared" si="45"/>
        <v>14.239253102139411</v>
      </c>
      <c r="J30" s="3">
        <f t="shared" si="45"/>
        <v>14.271425756252603</v>
      </c>
      <c r="K30" s="3">
        <f t="shared" si="45"/>
        <v>14.029156194681139</v>
      </c>
      <c r="L30" s="3">
        <f t="shared" si="45"/>
        <v>13.623547348415656</v>
      </c>
      <c r="M30" s="3">
        <f t="shared" si="45"/>
        <v>13.129744936087871</v>
      </c>
      <c r="N30" s="3">
        <f t="shared" si="45"/>
        <v>12.596395916659652</v>
      </c>
      <c r="O30" s="3">
        <f t="shared" si="45"/>
        <v>12.053896962892072</v>
      </c>
      <c r="P30" s="3">
        <f t="shared" si="45"/>
        <v>11.520558922109842</v>
      </c>
      <c r="Q30" s="3">
        <f t="shared" si="45"/>
        <v>11.006885577180064</v>
      </c>
      <c r="R30" s="3">
        <f t="shared" si="45"/>
        <v>10.518428572098362</v>
      </c>
      <c r="S30" s="3">
        <f t="shared" si="45"/>
        <v>10.057650478516202</v>
      </c>
      <c r="T30" s="3">
        <f t="shared" si="45"/>
        <v>9.625124719252808</v>
      </c>
      <c r="U30" s="3">
        <f t="shared" si="45"/>
        <v>9.2203016843969721</v>
      </c>
      <c r="V30" s="3">
        <f t="shared" si="45"/>
        <v>8.8419943134760501</v>
      </c>
      <c r="W30" s="3">
        <f t="shared" si="45"/>
        <v>8.4886833350716095</v>
      </c>
      <c r="X30" s="3">
        <f t="shared" si="45"/>
        <v>8.1587069330266768</v>
      </c>
      <c r="Y30" s="3">
        <f t="shared" si="45"/>
        <v>7.8503765043150597</v>
      </c>
      <c r="Z30" s="3">
        <f t="shared" si="45"/>
        <v>7.5620452720200335</v>
      </c>
      <c r="AA30" s="3">
        <f t="shared" si="45"/>
        <v>7.2921469500108298</v>
      </c>
      <c r="AB30" s="3">
        <f t="shared" si="45"/>
        <v>7.0392155189744381</v>
      </c>
      <c r="AC30" s="3">
        <f t="shared" si="45"/>
        <v>6.8018932314784069</v>
      </c>
      <c r="AD30" s="3">
        <f t="shared" si="45"/>
        <v>6.5789314255047824</v>
      </c>
      <c r="AE30" s="3">
        <f t="shared" si="45"/>
        <v>6.369187086979144</v>
      </c>
      <c r="AF30" s="3">
        <f t="shared" si="45"/>
        <v>6.171617040849398</v>
      </c>
      <c r="AG30" s="13">
        <f t="shared" si="45"/>
        <v>5.9852709621172435</v>
      </c>
    </row>
    <row r="31" spans="2:33" ht="18" x14ac:dyDescent="0.35">
      <c r="B31" s="72" t="s">
        <v>61</v>
      </c>
      <c r="C31" s="3">
        <f t="shared" ref="C31:AG31" si="46">C26/(C29+CDflaps25)</f>
        <v>0</v>
      </c>
      <c r="D31" s="3">
        <f t="shared" si="46"/>
        <v>3.1728457837198509</v>
      </c>
      <c r="E31" s="3">
        <f t="shared" si="46"/>
        <v>6.0388593850094328</v>
      </c>
      <c r="F31" s="3">
        <f t="shared" si="46"/>
        <v>8.3847253681305229</v>
      </c>
      <c r="G31" s="3">
        <f t="shared" si="46"/>
        <v>10.12600686370468</v>
      </c>
      <c r="H31" s="3">
        <f t="shared" si="46"/>
        <v>11.289713951457355</v>
      </c>
      <c r="I31" s="3">
        <f t="shared" si="46"/>
        <v>11.967199920847982</v>
      </c>
      <c r="J31" s="3">
        <f t="shared" si="46"/>
        <v>12.270141097000229</v>
      </c>
      <c r="K31" s="3">
        <f t="shared" si="46"/>
        <v>12.303130763091209</v>
      </c>
      <c r="L31" s="3">
        <f t="shared" si="46"/>
        <v>12.151966138906847</v>
      </c>
      <c r="M31" s="3">
        <f t="shared" si="46"/>
        <v>11.881713947784162</v>
      </c>
      <c r="N31" s="3">
        <f t="shared" si="46"/>
        <v>11.539280660025906</v>
      </c>
      <c r="O31" s="3">
        <f t="shared" si="46"/>
        <v>11.157303701544649</v>
      </c>
      <c r="P31" s="3">
        <f t="shared" si="46"/>
        <v>10.757871578155209</v>
      </c>
      <c r="Q31" s="3">
        <f t="shared" si="46"/>
        <v>10.355557376435234</v>
      </c>
      <c r="R31" s="3">
        <f t="shared" si="46"/>
        <v>9.9597061318480478</v>
      </c>
      <c r="S31" s="3">
        <f t="shared" si="46"/>
        <v>9.5760858560539379</v>
      </c>
      <c r="T31" s="3">
        <f t="shared" si="46"/>
        <v>9.2080488662701061</v>
      </c>
      <c r="U31" s="3">
        <f t="shared" si="46"/>
        <v>8.8573358674292919</v>
      </c>
      <c r="V31" s="3">
        <f t="shared" si="46"/>
        <v>8.5246271359575641</v>
      </c>
      <c r="W31" s="3">
        <f t="shared" si="46"/>
        <v>8.209917766562306</v>
      </c>
      <c r="X31" s="3">
        <f t="shared" si="46"/>
        <v>7.9127717492918013</v>
      </c>
      <c r="Y31" s="3">
        <f t="shared" si="46"/>
        <v>7.6324930706030258</v>
      </c>
      <c r="Z31" s="3">
        <f t="shared" si="46"/>
        <v>7.3682401736944874</v>
      </c>
      <c r="AA31" s="3">
        <f t="shared" si="46"/>
        <v>7.11910182774416</v>
      </c>
      <c r="AB31" s="3">
        <f t="shared" si="46"/>
        <v>6.8841467426989071</v>
      </c>
      <c r="AC31" s="3">
        <f t="shared" si="46"/>
        <v>6.6624553546120593</v>
      </c>
      <c r="AD31" s="3">
        <f t="shared" si="46"/>
        <v>6.4531395366431852</v>
      </c>
      <c r="AE31" s="3">
        <f t="shared" si="46"/>
        <v>6.2553541698278616</v>
      </c>
      <c r="AF31" s="3">
        <f t="shared" si="46"/>
        <v>6.0683032647452766</v>
      </c>
      <c r="AG31" s="13">
        <f t="shared" si="46"/>
        <v>5.8912424754004276</v>
      </c>
    </row>
    <row r="32" spans="2:33" ht="18.75" thickBot="1" x14ac:dyDescent="0.4">
      <c r="B32" s="73" t="s">
        <v>63</v>
      </c>
      <c r="C32" s="14">
        <f t="shared" ref="C32:AG32" si="47">C26/(C29+CDflaps50)</f>
        <v>0</v>
      </c>
      <c r="D32" s="14">
        <f t="shared" si="47"/>
        <v>1.0360821045872144</v>
      </c>
      <c r="E32" s="14">
        <f t="shared" si="47"/>
        <v>2.0383445828839912</v>
      </c>
      <c r="F32" s="14">
        <f t="shared" si="47"/>
        <v>2.9768003899479973</v>
      </c>
      <c r="G32" s="14">
        <f t="shared" si="47"/>
        <v>3.8276689798642543</v>
      </c>
      <c r="H32" s="14">
        <f t="shared" si="47"/>
        <v>4.5750634522784974</v>
      </c>
      <c r="I32" s="14">
        <f t="shared" si="47"/>
        <v>5.2111813173102917</v>
      </c>
      <c r="J32" s="14">
        <f t="shared" si="47"/>
        <v>5.7353985955796185</v>
      </c>
      <c r="K32" s="14">
        <f t="shared" si="47"/>
        <v>6.152705556328617</v>
      </c>
      <c r="L32" s="14">
        <f t="shared" si="47"/>
        <v>6.4719292313922114</v>
      </c>
      <c r="M32" s="14">
        <f t="shared" si="47"/>
        <v>6.7040780212197584</v>
      </c>
      <c r="N32" s="14">
        <f t="shared" si="47"/>
        <v>6.8609964468482296</v>
      </c>
      <c r="O32" s="14">
        <f t="shared" si="47"/>
        <v>6.9543903937563911</v>
      </c>
      <c r="P32" s="14">
        <f t="shared" si="47"/>
        <v>6.9951989693562817</v>
      </c>
      <c r="Q32" s="14">
        <f t="shared" si="47"/>
        <v>6.9932476950248859</v>
      </c>
      <c r="R32" s="14">
        <f t="shared" si="47"/>
        <v>6.9571072406017391</v>
      </c>
      <c r="S32" s="14">
        <f t="shared" si="47"/>
        <v>6.8940888825947821</v>
      </c>
      <c r="T32" s="14">
        <f t="shared" si="47"/>
        <v>6.81032205113803</v>
      </c>
      <c r="U32" s="14">
        <f t="shared" si="47"/>
        <v>6.7108744788188588</v>
      </c>
      <c r="V32" s="14">
        <f t="shared" si="47"/>
        <v>6.599888560807913</v>
      </c>
      <c r="W32" s="14">
        <f t="shared" si="47"/>
        <v>6.4807176104372433</v>
      </c>
      <c r="X32" s="14">
        <f t="shared" si="47"/>
        <v>6.3560528445153128</v>
      </c>
      <c r="Y32" s="14">
        <f t="shared" si="47"/>
        <v>6.2280366863406718</v>
      </c>
      <c r="Z32" s="14">
        <f t="shared" si="47"/>
        <v>6.0983609446170544</v>
      </c>
      <c r="AA32" s="14">
        <f t="shared" si="47"/>
        <v>5.9683501557950196</v>
      </c>
      <c r="AB32" s="14">
        <f t="shared" si="47"/>
        <v>5.8390312887905509</v>
      </c>
      <c r="AC32" s="14">
        <f t="shared" si="47"/>
        <v>5.7111914098652763</v>
      </c>
      <c r="AD32" s="14">
        <f t="shared" si="47"/>
        <v>5.5854250002138217</v>
      </c>
      <c r="AE32" s="14">
        <f t="shared" si="47"/>
        <v>5.462172545670021</v>
      </c>
      <c r="AF32" s="14">
        <f t="shared" si="47"/>
        <v>5.3417518622504545</v>
      </c>
      <c r="AG32" s="15">
        <f t="shared" si="47"/>
        <v>5.2243834341717257</v>
      </c>
    </row>
  </sheetData>
  <mergeCells count="2">
    <mergeCell ref="C25:AG25"/>
    <mergeCell ref="C15:AG1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Instructions</vt:lpstr>
      <vt:lpstr>Drag Rise</vt:lpstr>
      <vt:lpstr>HS Drag Map </vt:lpstr>
      <vt:lpstr>Wing Characteristics</vt:lpstr>
      <vt:lpstr>LS Polars</vt:lpstr>
      <vt:lpstr>AR</vt:lpstr>
      <vt:lpstr>CD0</vt:lpstr>
      <vt:lpstr>CDflaps15</vt:lpstr>
      <vt:lpstr>CDflaps25</vt:lpstr>
      <vt:lpstr>CDflaps50</vt:lpstr>
      <vt:lpstr>CDslats</vt:lpstr>
      <vt:lpstr>e</vt:lpstr>
      <vt:lpstr>Ka</vt:lpstr>
      <vt:lpstr>lambda</vt:lpstr>
      <vt:lpstr>lambda1o4c</vt:lpstr>
      <vt:lpstr>lambdaco2</vt:lpstr>
      <vt:lpstr>MDDDiff</vt:lpstr>
      <vt:lpstr>toc</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Hays</dc:creator>
  <cp:lastModifiedBy>Tony Hays</cp:lastModifiedBy>
  <cp:lastPrinted>2016-11-05T05:54:48Z</cp:lastPrinted>
  <dcterms:created xsi:type="dcterms:W3CDTF">2011-10-20T00:52:43Z</dcterms:created>
  <dcterms:modified xsi:type="dcterms:W3CDTF">2017-10-03T05:54:37Z</dcterms:modified>
</cp:coreProperties>
</file>