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harts/chart1.xml" ContentType="application/vnd.openxmlformats-officedocument.drawingml.chart+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C:\Users\Tony Hays\Aircraft Design\Spreadsheets\Sizing and Performance\"/>
    </mc:Choice>
  </mc:AlternateContent>
  <bookViews>
    <workbookView xWindow="6216" yWindow="-12" windowWidth="9312" windowHeight="9168" tabRatio="677" firstSheet="13" activeTab="14"/>
  </bookViews>
  <sheets>
    <sheet name="Notes" sheetId="1" r:id="rId1"/>
    <sheet name="Mission" sheetId="14" r:id="rId2"/>
    <sheet name="Baseline" sheetId="12" r:id="rId3"/>
    <sheet name="Aerodynamics" sheetId="13" r:id="rId4"/>
    <sheet name="Performance" sheetId="15" r:id="rId5"/>
    <sheet name="Wt &amp; Balance" sheetId="17" r:id="rId6"/>
    <sheet name="Propulsion" sheetId="18" r:id="rId7"/>
    <sheet name="Atmosphere" sheetId="16" r:id="rId8"/>
    <sheet name="ToW vs WoS(MIL)" sheetId="5" r:id="rId9"/>
    <sheet name="ToW vs WoS (CIVIL)" sheetId="6" r:id="rId10"/>
    <sheet name="Struct. Wt. Pie" sheetId="7" r:id="rId11"/>
    <sheet name="Drag Polars" sheetId="8" r:id="rId12"/>
    <sheet name="Drag Pie Chart" sheetId="9" r:id="rId13"/>
    <sheet name="Drag Bar Chart" sheetId="10" r:id="rId14"/>
    <sheet name="Balance Plot" sheetId="11" r:id="rId15"/>
  </sheets>
  <definedNames>
    <definedName name="\f">Notes!$J$2</definedName>
    <definedName name="\g">Notes!$J$2</definedName>
    <definedName name="__123Graph_A" hidden="1">Notes!#REF!</definedName>
    <definedName name="__123Graph_B" hidden="1">Notes!#REF!</definedName>
    <definedName name="__123Graph_LBL_A" hidden="1">Notes!#REF!</definedName>
    <definedName name="__123Graph_LBL_B" hidden="1">Notes!#REF!</definedName>
    <definedName name="__123Graph_X" hidden="1">Notes!#REF!</definedName>
    <definedName name="_1__123Graph_ABALANCE_PLOT" hidden="1">'Wt &amp; Balance'!$B$164:$B$169</definedName>
    <definedName name="_10__123Graph_BDRAG_POLARS" hidden="1">Aerodynamics!$C$42:$CO$42</definedName>
    <definedName name="_11__123Graph_BSTRUC._WEIT_PIE" hidden="1">Notes!#REF!</definedName>
    <definedName name="_12__123Graph_BT_W_VS_W_S_FAR" hidden="1">Performance!$C$54:$Z$54</definedName>
    <definedName name="_13__123Graph_BT_W_VS_W_S_MIL" hidden="1">Performance!$C$53:$Z$53</definedName>
    <definedName name="_14__123Graph_BWE_FRACTIONS" hidden="1">Notes!#REF!</definedName>
    <definedName name="_15__123Graph_BWE_REQ_D___AVAL" hidden="1">Notes!#REF!</definedName>
    <definedName name="_16__123Graph_CSTRUC._WEIT_PIE" hidden="1">Notes!#REF!</definedName>
    <definedName name="_17__123Graph_CT_W_VS_W_S_FAR" hidden="1">Performance!$C$56:$X$56</definedName>
    <definedName name="_18__123Graph_CT_W_VS_W_S_MIL" hidden="1">Performance!$C$60:$AB$60</definedName>
    <definedName name="_19__123Graph_DSTRUC._WEIT_PIE" hidden="1">Notes!#REF!</definedName>
    <definedName name="_2__123Graph_ADRAG_BAR_CHART" hidden="1">Aerodynamics!$J$21:$J$25</definedName>
    <definedName name="_20__123Graph_DT_W_VS_W_S_FAR" hidden="1">Performance!$C$58:$X$58</definedName>
    <definedName name="_21__123Graph_DT_W_VS_W_S_MIL" hidden="1">Performance!$C$61:$X$61</definedName>
    <definedName name="_22__123Graph_DWE_FRACTIONS" hidden="1">Notes!#REF!</definedName>
    <definedName name="_23__123Graph_ESTRUC._WEIT_PIE" hidden="1">Notes!#REF!</definedName>
    <definedName name="_24__123Graph_ET_W_VS_W_S_MIL" hidden="1">Performance!$C$62:$X$62</definedName>
    <definedName name="_25__123Graph_FSTRUC._WEIT_PIE" hidden="1">Notes!#REF!</definedName>
    <definedName name="_26__123Graph_FT_W_VS_W_S_MIL" hidden="1">Performance!$C$58:$X$58</definedName>
    <definedName name="_27__123Graph_LBL_ABALANCE_PLOT" hidden="1">'Wt &amp; Balance'!$A$164:$A$168</definedName>
    <definedName name="_28__123Graph_LBL_ADRAG_POLARS" hidden="1">Aerodynamics!$C$43:$AX$43</definedName>
    <definedName name="_29__123Graph_LBL_AT_W_VS_W_S_FAR" hidden="1">Performance!$A$83:$J$83</definedName>
    <definedName name="_3__123Graph_ADRAG_PIE_CHART" hidden="1">Aerodynamics!$J$21:$J$25</definedName>
    <definedName name="_30__123Graph_LBL_AT_W_VS_W_S_MIL" hidden="1">Performance!$A$78:$D$78</definedName>
    <definedName name="_31__123Graph_LBL_AWE_FRACTIONS" hidden="1">Notes!#REF!</definedName>
    <definedName name="_32__123Graph_LBL_AWE_REQ_D___AVAL" hidden="1">Notes!#REF!</definedName>
    <definedName name="_33__123Graph_LBL_BDRAG_POLARS" hidden="1">Notes!$C$60:$AX$60</definedName>
    <definedName name="_34__123Graph_LBL_BT_W_VS_W_S_FAR" hidden="1">Performance!$C$47:$Z$47</definedName>
    <definedName name="_35__123Graph_LBL_BT_W_VS_W_S_MIL" hidden="1">Performance!$C$47:$Z$47</definedName>
    <definedName name="_36__123Graph_LBL_BWE_FRACTIONS" hidden="1">Notes!#REF!</definedName>
    <definedName name="_37__123Graph_LBL_BWE_REQ_D___AVAL" hidden="1">Notes!#REF!</definedName>
    <definedName name="_38__123Graph_LBL_CT_W_VS_W_S_FAR" hidden="1">Performance!$A$82:$C$82</definedName>
    <definedName name="_39__123Graph_LBL_CT_W_VS_W_S_MIL" hidden="1">Performance!$C$46:$AB$46</definedName>
    <definedName name="_4__123Graph_ADRAG_POLARS" hidden="1">Aerodynamics!$C$41:$CO$41</definedName>
    <definedName name="_40__123Graph_LBL_CWE_FRACTIONS" hidden="1">Notes!#REF!</definedName>
    <definedName name="_41__123Graph_LBL_DT_W_VS_W_S_FAR" hidden="1">Performance!$A$81:$P$81</definedName>
    <definedName name="_42__123Graph_LBL_DT_W_VS_W_S_MIL" hidden="1">Performance!$A$79:$L$79</definedName>
    <definedName name="_43__123Graph_LBL_DWE_FRACTIONS" hidden="1">Notes!#REF!</definedName>
    <definedName name="_44__123Graph_LBL_ET_W_VS_W_S_MIL" hidden="1">Performance!$A$80:$V$80</definedName>
    <definedName name="_45__123Graph_LBL_FT_W_VS_W_S_MIL" hidden="1">Performance!$A$81:$P$81</definedName>
    <definedName name="_46__123Graph_XBALANCE_PLOT" hidden="1">'Wt &amp; Balance'!$I$164:$I$169</definedName>
    <definedName name="_47__123Graph_XDRAG_BAR_CHART" hidden="1">Aerodynamics!$A$21:$A$25</definedName>
    <definedName name="_48__123Graph_XDRAG_PIE_CHART" hidden="1">Aerodynamics!$A$21:$A$25</definedName>
    <definedName name="_49__123Graph_XDRAG_POLARS" hidden="1">Aerodynamics!$C$40:$CO$40</definedName>
    <definedName name="_5__123Graph_ASTRUC._WEIT_PIE" hidden="1">'Wt &amp; Balance'!$C$96:$C$101</definedName>
    <definedName name="_50__123Graph_XSTRUC._WEIT_PIE" hidden="1">'Wt &amp; Balance'!$A$96:$A$101</definedName>
    <definedName name="_51__123Graph_XT_W_VS_W_S_FAR" hidden="1">Performance!$C$48:$AB$48</definedName>
    <definedName name="_52__123Graph_XT_W_VS_W_S_MIL" hidden="1">Performance!$C$48:$AB$48</definedName>
    <definedName name="_53__123Graph_XWE_FRACTIONS" hidden="1">Notes!#REF!</definedName>
    <definedName name="_54__123Graph_XWE_REQ_D___AVAL" hidden="1">Notes!#REF!</definedName>
    <definedName name="_6__123Graph_AT_W_VS_W_S_FAR" hidden="1">Performance!$C$55:$X$55</definedName>
    <definedName name="_7__123Graph_AT_W_VS_W_S_MIL" hidden="1">Performance!$C$52:$X$52</definedName>
    <definedName name="_8__123Graph_AWE_FRACTIONS" hidden="1">Notes!#REF!</definedName>
    <definedName name="_9__123Graph_AWE_REQ_D___AVAL" hidden="1">Notes!#REF!</definedName>
    <definedName name="_ALT1">Performance!$E$24</definedName>
    <definedName name="_ALT2">Performance!$E$25</definedName>
    <definedName name="_ALT3">Performance!$E$26</definedName>
    <definedName name="_ALT4">Performance!$E$27</definedName>
    <definedName name="_ALT5">Performance!$E$28</definedName>
    <definedName name="_CDO1">Performance!$O$24</definedName>
    <definedName name="_CDO2">Performance!$O$25</definedName>
    <definedName name="_CDO3">Performance!$O$26</definedName>
    <definedName name="_CDO4">Performance!$O$27</definedName>
    <definedName name="_CDO5">Performance!$O$28</definedName>
    <definedName name="_GEE1">Performance!$G$24</definedName>
    <definedName name="_GEE2">Performance!$G$25</definedName>
    <definedName name="_GEE3">Performance!$G$26</definedName>
    <definedName name="_GEE4">Performance!$G$27</definedName>
    <definedName name="_GEE5">Performance!$G$28</definedName>
    <definedName name="_KAY1">Performance!$Q$24</definedName>
    <definedName name="_KAY2">Performance!$Q$25</definedName>
    <definedName name="_KAY3">Performance!$Q$26</definedName>
    <definedName name="_KAY4">Performance!$Q$27</definedName>
    <definedName name="_KAY5">Performance!$Q$28</definedName>
    <definedName name="_KF1">Baseline!$U$46</definedName>
    <definedName name="_KF2">Baseline!$U$47</definedName>
    <definedName name="_KF3">Baseline!$U$48</definedName>
    <definedName name="_QUE1">Performance!$U$24</definedName>
    <definedName name="_QUE2">Performance!$U$25</definedName>
    <definedName name="_QUE3">Performance!$U$26</definedName>
    <definedName name="_QUE4">Performance!$U$27</definedName>
    <definedName name="_QUE5">Performance!$U$28</definedName>
    <definedName name="_Regression_Int" localSheetId="0" hidden="1">1</definedName>
    <definedName name="_SEP1">Performance!$I$24</definedName>
    <definedName name="_SEP2">Performance!$I$25</definedName>
    <definedName name="_SEP3">Performance!$I$26</definedName>
    <definedName name="_SEP4">Performance!$I$27</definedName>
    <definedName name="_SEP5">Performance!$I$28</definedName>
    <definedName name="_VEE1">Performance!$S$24</definedName>
    <definedName name="_VEE2">Performance!$S$25</definedName>
    <definedName name="_VEE3">Performance!$S$26</definedName>
    <definedName name="_VEE4">Performance!$S$27</definedName>
    <definedName name="_VEE5">Performance!$S$28</definedName>
    <definedName name="A">'Wt &amp; Balance'!$C$8</definedName>
    <definedName name="AERODYNAMICS">Notes!$23:$7705</definedName>
    <definedName name="AFUSE">Baseline!$U$44</definedName>
    <definedName name="AHTSOB">Baseline!$U$42</definedName>
    <definedName name="ANAC">Baseline!$AA$39</definedName>
    <definedName name="ANOSE">Baseline!$U$37</definedName>
    <definedName name="APARA">Baseline!$U$38</definedName>
    <definedName name="APYLON">Baseline!$AA$23</definedName>
    <definedName name="AR">Baseline!$C$20</definedName>
    <definedName name="ARHTAIL">Baseline!$I$22</definedName>
    <definedName name="ARVTAIL">Baseline!$O$22</definedName>
    <definedName name="ATAIL">Baseline!$U$40</definedName>
    <definedName name="ATMOSPHERE">Notes!#REF!</definedName>
    <definedName name="AVTSOB">Baseline!$U$43</definedName>
    <definedName name="AWINGSOB">Baseline!$U$41</definedName>
    <definedName name="AXSNAC">Baseline!$AA$35</definedName>
    <definedName name="B">Baseline!$C$36</definedName>
    <definedName name="BALANCE">'Wt &amp; Balance'!$A$138:$F$169</definedName>
    <definedName name="BASELINE">Baseline!$A$1:$D$8</definedName>
    <definedName name="BHT">Baseline!$I$37</definedName>
    <definedName name="BURIED">'Wt &amp; Balance'!$C$27</definedName>
    <definedName name="BURNER">'Wt &amp; Balance'!$C$26</definedName>
    <definedName name="BVT">Baseline!$O$37</definedName>
    <definedName name="CARGFUSE">Baseline!$U$29</definedName>
    <definedName name="CDO">Aerodynamics!$I$7</definedName>
    <definedName name="CDOCALC">Aerodynamics!$J$30</definedName>
    <definedName name="CDOSUB">Aerodynamics!$C$9</definedName>
    <definedName name="CDOSUP">Aerodynamics!$C$12</definedName>
    <definedName name="CLMAXCOM">Performance!$C$19</definedName>
    <definedName name="CLMAXLD">Performance!$C$13</definedName>
    <definedName name="CLMAXTO">Performance!$C$8</definedName>
    <definedName name="COMRATIO">Propulsion!$C$9</definedName>
    <definedName name="COMWEIT">Performance!$I$19</definedName>
    <definedName name="CREW">Baseline!$C$4</definedName>
    <definedName name="CROOT">Baseline!$C$37</definedName>
    <definedName name="CROOTHT">Baseline!$I$38</definedName>
    <definedName name="CROOTVT">Baseline!$O$38</definedName>
    <definedName name="CSOB">Baseline!$C$39</definedName>
    <definedName name="CTIP">Baseline!$C$38</definedName>
    <definedName name="CURVE">'Wt &amp; Balance'!$C$30</definedName>
    <definedName name="DELCD0LD">Performance!$C$14</definedName>
    <definedName name="DELCD0TO">Performance!$C$9</definedName>
    <definedName name="DELCDOGR">Performance!$C$10</definedName>
    <definedName name="DELCDOLD">Performance!$C$14</definedName>
    <definedName name="DELCDOTO">Performance!$C$9</definedName>
    <definedName name="DELHE">Mission!$I$22</definedName>
    <definedName name="DELHEAC2">Mission!$I$49</definedName>
    <definedName name="DELHEACN">Mission!$I$49</definedName>
    <definedName name="DELHECL">Mission!$I$22</definedName>
    <definedName name="DELTAT">Atmosphere!$E$9</definedName>
    <definedName name="DELTOGW">Mission!$C$67</definedName>
    <definedName name="DEQUIV">Baseline!$U$35</definedName>
    <definedName name="DEXHAUST">Baseline!$U$25</definedName>
    <definedName name="DNAC">Baseline!$AA$36</definedName>
    <definedName name="DRAG">Aerodynamics!$A$17:$I$29</definedName>
    <definedName name="DRAG_POLARS">Aerodynamics!$A$33</definedName>
    <definedName name="E">Aerodynamics!$C$10</definedName>
    <definedName name="ENGTYPE">'Wt &amp; Balance'!$C$25</definedName>
    <definedName name="ETURNS">Mission!$I$41</definedName>
    <definedName name="EXPEND">Baseline!$C$5</definedName>
    <definedName name="F">Aerodynamics!$I$29</definedName>
    <definedName name="FIELDALT">Performance!$I$7</definedName>
    <definedName name="FIXSTAB">Baseline!$I$25</definedName>
    <definedName name="FNREF">Propulsion!$C$18</definedName>
    <definedName name="FUELDESC">Mission!$C$57</definedName>
    <definedName name="FUELLAND">Mission!$C$60</definedName>
    <definedName name="FUELRES">Mission!$C$62</definedName>
    <definedName name="G">Atmosphere!$E$4</definedName>
    <definedName name="GAMMA">Atmosphere!$E$3</definedName>
    <definedName name="GD.OEW">'Wt &amp; Balance'!$C$127</definedName>
    <definedName name="GSUP1">Notes!$IV$7705</definedName>
    <definedName name="HAVEACCN">Mission!$I$31</definedName>
    <definedName name="HAVEACN2">Mission!$I$47</definedName>
    <definedName name="HAVECL">Mission!$I$19</definedName>
    <definedName name="HCRUISE">Mission!$C$53</definedName>
    <definedName name="HEND">Mission!$C$41</definedName>
    <definedName name="HENDCLB">Mission!$C$48</definedName>
    <definedName name="HFIN">Mission!$C$21</definedName>
    <definedName name="HFUSE">Baseline!$U$21</definedName>
    <definedName name="HINIT">Mission!$C$19</definedName>
    <definedName name="HSTART">Notes!$IV$7705</definedName>
    <definedName name="HTRATIO">Baseline!$O$27</definedName>
    <definedName name="HVT">Baseline!$O$37</definedName>
    <definedName name="INFUSE">Baseline!$U$26</definedName>
    <definedName name="KEASMAXC">'Wt &amp; Balance'!$C$20</definedName>
    <definedName name="KEASMAXD">'Wt &amp; Balance'!$C$21</definedName>
    <definedName name="KFSP">'Wt &amp; Balance'!$C$33</definedName>
    <definedName name="KH">Baseline!$I$41</definedName>
    <definedName name="KINL">Baseline!$U$45</definedName>
    <definedName name="KPIV">Baseline!$C$47</definedName>
    <definedName name="KSUB">Aerodynamics!$I$9</definedName>
    <definedName name="KSUP">Aerodynamics!$I$10</definedName>
    <definedName name="KV">Baseline!$O$42</definedName>
    <definedName name="L">Baseline!$C$45</definedName>
    <definedName name="LAMBDA">Baseline!$C$21</definedName>
    <definedName name="LAMBDA2">Baseline!$C$44</definedName>
    <definedName name="LAMBDA2H">Baseline!$I$26</definedName>
    <definedName name="LAMBDAHT">Baseline!$I$24</definedName>
    <definedName name="LAMTAIL">Baseline!$O$24</definedName>
    <definedName name="LANDWEIT">Performance!$I$13</definedName>
    <definedName name="LAPSE">Atmosphere!$E$6</definedName>
    <definedName name="LDUCT">'Wt &amp; Balance'!$C$28</definedName>
    <definedName name="LEMAC">'Wt &amp; Balance'!$C$144</definedName>
    <definedName name="LEMACWCG">'Wt &amp; Balance'!$C$141</definedName>
    <definedName name="LESWEEP">Baseline!$C$23</definedName>
    <definedName name="LFUSE">Baseline!$U$20</definedName>
    <definedName name="LHT">Baseline!$I$27</definedName>
    <definedName name="LNAC">Baseline!$AA$37</definedName>
    <definedName name="LNOSE">Baseline!$U$23</definedName>
    <definedName name="LODACCN">Mission!$I$28</definedName>
    <definedName name="LODACN2">Mission!$I$44</definedName>
    <definedName name="LODCLIMB">Mission!$I$20</definedName>
    <definedName name="LODMAXSB">Aerodynamics!$I$11</definedName>
    <definedName name="LODMAXSP">Aerodynamics!$I$13</definedName>
    <definedName name="LODSUBCR">Aerodynamics!$I$12</definedName>
    <definedName name="LODSUPCR">Aerodynamics!$I$14</definedName>
    <definedName name="LOITALT">Mission!$C$27</definedName>
    <definedName name="LOITEND">Mission!$C$29</definedName>
    <definedName name="LOITMACH">Mission!$C$28</definedName>
    <definedName name="LORATIO">Propulsion!$C$8</definedName>
    <definedName name="LPARA">Baseline!$U$24</definedName>
    <definedName name="LVT">Baseline!$O$26</definedName>
    <definedName name="MAC">Baseline!$C$43</definedName>
    <definedName name="MACH1">Performance!$C$24</definedName>
    <definedName name="MACH2">Performance!$C$25</definedName>
    <definedName name="MACH3">Performance!$C$26</definedName>
    <definedName name="MACH4">Performance!$C$27</definedName>
    <definedName name="MACH5">Performance!$C$28</definedName>
    <definedName name="MACHT">Baseline!$I$40</definedName>
    <definedName name="MACIN">'Wt &amp; Balance'!$C$143</definedName>
    <definedName name="MACVT">Baseline!$O$40</definedName>
    <definedName name="MAXG">Notes!$IV$7705</definedName>
    <definedName name="MCRUISE">Mission!$C$54</definedName>
    <definedName name="MEND">Mission!$C$40</definedName>
    <definedName name="MENDCLB">Mission!$C$47</definedName>
    <definedName name="MFIN">Mission!$C$20</definedName>
    <definedName name="MINDIFF">Notes!#REF!</definedName>
    <definedName name="MINIT">Mission!$C$18</definedName>
    <definedName name="MISSION">Notes!#REF!</definedName>
    <definedName name="MLGFUSE">Baseline!$U$28</definedName>
    <definedName name="MMAX">Baseline!$C$11</definedName>
    <definedName name="MSTART">Mission!$C$40</definedName>
    <definedName name="MSUPER">Aerodynamics!$C$13</definedName>
    <definedName name="N">Propulsion!$C$5</definedName>
    <definedName name="NACWET">Baseline!$AA$38</definedName>
    <definedName name="NG">Mission!$I$39</definedName>
    <definedName name="NGREQD">Performance!$C$17</definedName>
    <definedName name="NINL">'Wt &amp; Balance'!$C$31</definedName>
    <definedName name="NNAC">Baseline!$AA$20</definedName>
    <definedName name="NTURNS">Mission!$C$39</definedName>
    <definedName name="NULT">Baseline!$C$10</definedName>
    <definedName name="PAYLOAD">Baseline!$C$6</definedName>
    <definedName name="PERFORMANCE">Performance!$A$1:$D$18</definedName>
    <definedName name="PFUSE">Baseline!$U$27</definedName>
    <definedName name="PNOSE">Baseline!$U$36</definedName>
    <definedName name="POINTER">Notes!#REF!</definedName>
    <definedName name="POINTER2">Performance!$C$71:$X$71</definedName>
    <definedName name="_xlnm.Print_Area" localSheetId="0">Notes!$I$1:$O$3</definedName>
    <definedName name="Print_Area_MI" localSheetId="0">Notes!$I$1:$O$3</definedName>
    <definedName name="PROPULSION">Propulsion!$A$1:$F$2</definedName>
    <definedName name="PSIDOT">Mission!$I$40</definedName>
    <definedName name="PSL">Atmosphere!$E$10</definedName>
    <definedName name="PTAIL">Baseline!$U$39</definedName>
    <definedName name="QAVEACCN">Mission!$I$29</definedName>
    <definedName name="QAVEACN2">Mission!$I$45</definedName>
    <definedName name="QAVECL">Mission!$I$18</definedName>
    <definedName name="QCOMBAT">Mission!$I$38</definedName>
    <definedName name="QMAX">Baseline!$I$11</definedName>
    <definedName name="R_">Atmosphere!$E$5</definedName>
    <definedName name="REPERFT">Aerodynamics!$I$16</definedName>
    <definedName name="RFFUSE">'Wt &amp; Balance'!$C$15</definedName>
    <definedName name="RFGEAR">'Wt &amp; Balance'!$C$17</definedName>
    <definedName name="RFHORZT">'Wt &amp; Balance'!$C$13</definedName>
    <definedName name="RFNAC">'Wt &amp; Balance'!$C$16</definedName>
    <definedName name="RFVERTT">'Wt &amp; Balance'!$C$14</definedName>
    <definedName name="RFWING">'Wt &amp; Balance'!$C$12</definedName>
    <definedName name="RLS">Baseline!$C$25</definedName>
    <definedName name="RO0">Atmosphere!$E$8</definedName>
    <definedName name="ROSL">Atmosphere!$E$11</definedName>
    <definedName name="SEP">Performance!$C$18</definedName>
    <definedName name="SFCCL">Propulsion!$C$11</definedName>
    <definedName name="SFCCOMB">Propulsion!$C$15</definedName>
    <definedName name="SFCCR">Propulsion!$C$12</definedName>
    <definedName name="SFCLO">Propulsion!$C$13</definedName>
    <definedName name="SFCSUPER">Propulsion!$C$14</definedName>
    <definedName name="SFCTO">Propulsion!$C$16</definedName>
    <definedName name="SFUSE">Baseline!$C$41</definedName>
    <definedName name="SHT">Baseline!$I$35</definedName>
    <definedName name="SHTWET">Baseline!$I$36</definedName>
    <definedName name="SIGMATO">Performance!$I$8</definedName>
    <definedName name="solver_adj" localSheetId="2" hidden="1">Baseline!$C$3</definedName>
    <definedName name="solver_adj" localSheetId="0" hidden="1">Notes!$C$3</definedName>
    <definedName name="solver_cvg" localSheetId="2" hidden="1">0.0001</definedName>
    <definedName name="solver_cvg" localSheetId="0" hidden="1">0.0001</definedName>
    <definedName name="solver_drv" localSheetId="2" hidden="1">2</definedName>
    <definedName name="solver_drv" localSheetId="0" hidden="1">1</definedName>
    <definedName name="solver_eng" localSheetId="3" hidden="1">1</definedName>
    <definedName name="solver_eng" localSheetId="2" hidden="1">1</definedName>
    <definedName name="solver_eng" localSheetId="0" hidden="1">1</definedName>
    <definedName name="solver_est" localSheetId="2" hidden="1">1</definedName>
    <definedName name="solver_est" localSheetId="0" hidden="1">1</definedName>
    <definedName name="solver_itr" localSheetId="2" hidden="1">2147483647</definedName>
    <definedName name="solver_itr" localSheetId="0" hidden="1">2147483647</definedName>
    <definedName name="solver_mip" localSheetId="2" hidden="1">2147483647</definedName>
    <definedName name="solver_mip" localSheetId="0" hidden="1">2147483647</definedName>
    <definedName name="solver_mni" localSheetId="2" hidden="1">30</definedName>
    <definedName name="solver_mni" localSheetId="0" hidden="1">30</definedName>
    <definedName name="solver_mrt" localSheetId="2" hidden="1">0.075</definedName>
    <definedName name="solver_mrt" localSheetId="0" hidden="1">0.075</definedName>
    <definedName name="solver_msl" localSheetId="2" hidden="1">2</definedName>
    <definedName name="solver_msl" localSheetId="0" hidden="1">2</definedName>
    <definedName name="solver_neg" localSheetId="3" hidden="1">1</definedName>
    <definedName name="solver_neg" localSheetId="2" hidden="1">2</definedName>
    <definedName name="solver_neg" localSheetId="0" hidden="1">1</definedName>
    <definedName name="solver_nod" localSheetId="2" hidden="1">2147483647</definedName>
    <definedName name="solver_nod" localSheetId="0" hidden="1">2147483647</definedName>
    <definedName name="solver_num" localSheetId="3" hidden="1">0</definedName>
    <definedName name="solver_num" localSheetId="2" hidden="1">0</definedName>
    <definedName name="solver_num" localSheetId="0" hidden="1">0</definedName>
    <definedName name="solver_nwt" localSheetId="2" hidden="1">1</definedName>
    <definedName name="solver_nwt" localSheetId="0" hidden="1">1</definedName>
    <definedName name="solver_opt" localSheetId="3" hidden="1">Aerodynamics!$D$14</definedName>
    <definedName name="solver_opt" localSheetId="2" hidden="1">Baseline!$I$3</definedName>
    <definedName name="solver_opt" localSheetId="0" hidden="1">Notes!$H$3</definedName>
    <definedName name="solver_pre" localSheetId="2" hidden="1">0.000000001</definedName>
    <definedName name="solver_pre" localSheetId="0" hidden="1">0.000001</definedName>
    <definedName name="solver_rbv" localSheetId="2" hidden="1">2</definedName>
    <definedName name="solver_rbv" localSheetId="0" hidden="1">1</definedName>
    <definedName name="solver_rlx" localSheetId="2" hidden="1">2</definedName>
    <definedName name="solver_rlx" localSheetId="0" hidden="1">2</definedName>
    <definedName name="solver_rsd" localSheetId="2" hidden="1">0</definedName>
    <definedName name="solver_rsd" localSheetId="0" hidden="1">0</definedName>
    <definedName name="solver_scl" localSheetId="2" hidden="1">2</definedName>
    <definedName name="solver_scl" localSheetId="0" hidden="1">1</definedName>
    <definedName name="solver_sho" localSheetId="2" hidden="1">2</definedName>
    <definedName name="solver_sho" localSheetId="0" hidden="1">2</definedName>
    <definedName name="solver_ssz" localSheetId="2" hidden="1">100</definedName>
    <definedName name="solver_ssz" localSheetId="0" hidden="1">100</definedName>
    <definedName name="solver_tim" localSheetId="2" hidden="1">2147483647</definedName>
    <definedName name="solver_tim" localSheetId="0" hidden="1">2147483647</definedName>
    <definedName name="solver_tol" localSheetId="2" hidden="1">0.01</definedName>
    <definedName name="solver_tol" localSheetId="0" hidden="1">0.01</definedName>
    <definedName name="solver_typ" localSheetId="3" hidden="1">1</definedName>
    <definedName name="solver_typ" localSheetId="2" hidden="1">3</definedName>
    <definedName name="solver_typ" localSheetId="0" hidden="1">3</definedName>
    <definedName name="solver_val" localSheetId="3" hidden="1">0</definedName>
    <definedName name="solver_val" localSheetId="2" hidden="1">0</definedName>
    <definedName name="solver_val" localSheetId="0" hidden="1">0</definedName>
    <definedName name="solver_ver" localSheetId="3" hidden="1">3</definedName>
    <definedName name="solver_ver" localSheetId="2" hidden="1">3</definedName>
    <definedName name="solver_ver" localSheetId="0" hidden="1">3</definedName>
    <definedName name="SPAN">Baseline!$C$36</definedName>
    <definedName name="SPANEFF">'Wt &amp; Balance'!$C$50</definedName>
    <definedName name="SR">Baseline!$O$41</definedName>
    <definedName name="SREF">Baseline!$C$35</definedName>
    <definedName name="SUBDIST">Mission!$C$24</definedName>
    <definedName name="SUPALT">Mission!$C$33</definedName>
    <definedName name="SUPDIST">Mission!$C$36</definedName>
    <definedName name="SVT">Baseline!$O$35</definedName>
    <definedName name="SVTWET">Baseline!$O$36</definedName>
    <definedName name="SWEEP2">Baseline!$C$44</definedName>
    <definedName name="SWETWING">Baseline!$C$42</definedName>
    <definedName name="SWITCH1">Mission!$C$14</definedName>
    <definedName name="SWITCH10">Mission!$C$50</definedName>
    <definedName name="SWITCH11">Mission!$C$52</definedName>
    <definedName name="SWITCH12">Mission!$C$56</definedName>
    <definedName name="SWITCH13">Mission!$C$59</definedName>
    <definedName name="SWITCH2">Mission!$C$17</definedName>
    <definedName name="SWITCH3">Mission!$C$23</definedName>
    <definedName name="SWITCH4">Mission!$C$26</definedName>
    <definedName name="SWITCH5">Mission!$C$31</definedName>
    <definedName name="SWITCH6">Mission!$C$35</definedName>
    <definedName name="SWITCH7">Mission!$C$38</definedName>
    <definedName name="SWITCH8">Mission!$C$43</definedName>
    <definedName name="SWITCH9">Mission!$C$46</definedName>
    <definedName name="T0">Atmosphere!$E$7</definedName>
    <definedName name="TAILSWP">Baseline!$O$25</definedName>
    <definedName name="TEMAC">'Wt &amp; Balance'!$C$145</definedName>
    <definedName name="TLAPSE">Propulsion!$C$10</definedName>
    <definedName name="TOACAPT">'Wt &amp; Balance'!$C$29</definedName>
    <definedName name="TOANAC">Baseline!$AA$21</definedName>
    <definedName name="TOBURN">Mission!$C$15</definedName>
    <definedName name="TOC">Baseline!$C$22</definedName>
    <definedName name="TOCLOC">Baseline!$C$24</definedName>
    <definedName name="TOCROOT">Baseline!$I$23</definedName>
    <definedName name="TOCROOTHT">Baseline!$I$23</definedName>
    <definedName name="TOCROOTVT">Baseline!$O$23</definedName>
    <definedName name="TOCRROOTVT">Baseline!$O$23</definedName>
    <definedName name="TODIST">Performance!$C$7</definedName>
    <definedName name="TOGW">Baseline!$C$3</definedName>
    <definedName name="TOGWREQD">Notes!#REF!</definedName>
    <definedName name="TOLNAC">Baseline!$AA$22</definedName>
    <definedName name="TOR.OEW">'Wt &amp; Balance'!$C$91</definedName>
    <definedName name="TORREF4">Performance!$K$27</definedName>
    <definedName name="TOTREF1">Performance!$K$24</definedName>
    <definedName name="TOTREF2">Performance!$K$25</definedName>
    <definedName name="TOTREF3">Performance!$K$26</definedName>
    <definedName name="TOTREF5">Performance!$K$28</definedName>
    <definedName name="TOW">Baseline!$C$7</definedName>
    <definedName name="TOWACCN">Mission!$I$32</definedName>
    <definedName name="TOWACN2">Mission!$I$48</definedName>
    <definedName name="TOWCLIMB">Mission!$I$21</definedName>
    <definedName name="TOWCOMB">Mission!$I$36</definedName>
    <definedName name="TOWFAR">Performance!$M$42</definedName>
    <definedName name="TOWMAX">Performance!$C$69:$X$69</definedName>
    <definedName name="TOWRANG2">Performance!$C$52:$X$58</definedName>
    <definedName name="TOWRANGE">Performance!$C$52:$X$62</definedName>
    <definedName name="TOWREQD">Performance!$C$74</definedName>
    <definedName name="TRATIO">Propulsion!$C$7</definedName>
    <definedName name="TROOTHT">Baseline!$I$39</definedName>
    <definedName name="TROOTVT">Baseline!$O$39</definedName>
    <definedName name="TSOB">Baseline!$C$40</definedName>
    <definedName name="TURN2">Notes!$IV$7705</definedName>
    <definedName name="VARSWP">Baseline!$C$27</definedName>
    <definedName name="VCOMBEND">Mission!$I$37</definedName>
    <definedName name="VFIN">Mission!$I$17</definedName>
    <definedName name="VHBAR">Baseline!$I$20</definedName>
    <definedName name="VINIT">Mission!$I$16</definedName>
    <definedName name="VSUPER">Mission!$I$27</definedName>
    <definedName name="VSUPER2">Mission!$I$43</definedName>
    <definedName name="VVBAR">Baseline!$O$20</definedName>
    <definedName name="WEAPWEIT">Mission!$C$44</definedName>
    <definedName name="WEIGHTS">Notes!#REF!</definedName>
    <definedName name="WEITDIFF">'Wt &amp; Balance'!$C$129</definedName>
    <definedName name="WEITDIFF2">Baseline!$I$3</definedName>
    <definedName name="WFIXED">Baseline!$I$6</definedName>
    <definedName name="WFUSE">Baseline!$U$22</definedName>
    <definedName name="WOS">Baseline!$C$8</definedName>
    <definedName name="WOSACCN">Mission!$I$30</definedName>
    <definedName name="WOSACN2">Mission!$I$46</definedName>
    <definedName name="WOSCOMB">Mission!$I$35</definedName>
    <definedName name="WOSDIFF">Performance!$C$47</definedName>
    <definedName name="WOSLAND">Performance!$I$14</definedName>
    <definedName name="WOSREQD">Performance!$C$75</definedName>
    <definedName name="WOWREF1">Performance!$M$24</definedName>
    <definedName name="WOWREF2">Performance!$M$25</definedName>
    <definedName name="WOWREF3">Performance!$M$26</definedName>
    <definedName name="WOWREF4">Performance!$M$27</definedName>
    <definedName name="WOWREF5">Performance!$M$28</definedName>
    <definedName name="WPAY">Baseline!$I$6</definedName>
  </definedNames>
  <calcPr calcId="152511"/>
</workbook>
</file>

<file path=xl/calcChain.xml><?xml version="1.0" encoding="utf-8"?>
<calcChain xmlns="http://schemas.openxmlformats.org/spreadsheetml/2006/main">
  <c r="C96" i="17" l="1"/>
  <c r="C5" i="18" l="1"/>
  <c r="C35" i="12" l="1"/>
  <c r="C36" i="12" s="1"/>
  <c r="K41" i="15" l="1"/>
  <c r="K40" i="15"/>
  <c r="K38" i="15"/>
  <c r="K37" i="15"/>
  <c r="K36" i="15"/>
  <c r="K35" i="15"/>
  <c r="C39" i="17"/>
  <c r="C65" i="17" l="1"/>
  <c r="C100" i="17"/>
  <c r="C64" i="17"/>
  <c r="C101" i="17"/>
  <c r="C99" i="17"/>
  <c r="E3" i="12"/>
  <c r="I6" i="12"/>
  <c r="C42" i="13"/>
  <c r="D40" i="13"/>
  <c r="D42" i="13" s="1"/>
  <c r="D36" i="13"/>
  <c r="E36" i="13" s="1"/>
  <c r="F36" i="13" s="1"/>
  <c r="G36" i="13" s="1"/>
  <c r="H36" i="13" s="1"/>
  <c r="I36" i="13" s="1"/>
  <c r="C18" i="18"/>
  <c r="D162" i="17"/>
  <c r="D161" i="17"/>
  <c r="D160" i="17"/>
  <c r="B159" i="17"/>
  <c r="D159" i="17" s="1"/>
  <c r="B157" i="17"/>
  <c r="D157" i="17" s="1"/>
  <c r="C144" i="17"/>
  <c r="H161" i="17" s="1"/>
  <c r="C70" i="17"/>
  <c r="A29" i="16"/>
  <c r="A28" i="16"/>
  <c r="C27" i="16"/>
  <c r="F27" i="16" s="1"/>
  <c r="A27" i="16"/>
  <c r="C26" i="16"/>
  <c r="F26" i="16" s="1"/>
  <c r="A26" i="16"/>
  <c r="H25" i="16"/>
  <c r="A25" i="16"/>
  <c r="C24" i="16"/>
  <c r="F24" i="16" s="1"/>
  <c r="A24" i="16"/>
  <c r="C23" i="16"/>
  <c r="F23" i="16" s="1"/>
  <c r="A23" i="16"/>
  <c r="H22" i="16"/>
  <c r="A22" i="16"/>
  <c r="C21" i="16"/>
  <c r="D21" i="16" s="1"/>
  <c r="E21" i="16" s="1"/>
  <c r="A21" i="16"/>
  <c r="C20" i="16"/>
  <c r="F20" i="16" s="1"/>
  <c r="A20" i="16"/>
  <c r="A19" i="16"/>
  <c r="C18" i="16"/>
  <c r="F18" i="16" s="1"/>
  <c r="A18" i="16"/>
  <c r="E11" i="16"/>
  <c r="E10" i="16"/>
  <c r="J83" i="15"/>
  <c r="C82" i="15"/>
  <c r="D78" i="15"/>
  <c r="C73" i="15"/>
  <c r="A62" i="15"/>
  <c r="V80" i="15" s="1"/>
  <c r="A61" i="15"/>
  <c r="L79" i="15" s="1"/>
  <c r="A60" i="15"/>
  <c r="A59" i="15"/>
  <c r="A58" i="15"/>
  <c r="F81" i="15" s="1"/>
  <c r="AA48" i="15"/>
  <c r="L48" i="15"/>
  <c r="K48" i="15" s="1"/>
  <c r="J48" i="15" s="1"/>
  <c r="I41" i="15"/>
  <c r="F41" i="15"/>
  <c r="E41" i="15"/>
  <c r="D41" i="15"/>
  <c r="B41" i="15"/>
  <c r="F40" i="15"/>
  <c r="E40" i="15"/>
  <c r="D40" i="15"/>
  <c r="I39" i="15"/>
  <c r="F39" i="15"/>
  <c r="E39" i="15"/>
  <c r="D39" i="15"/>
  <c r="B39" i="15"/>
  <c r="I38" i="15"/>
  <c r="F38" i="15"/>
  <c r="E38" i="15"/>
  <c r="D38" i="15"/>
  <c r="B38" i="15"/>
  <c r="I37" i="15"/>
  <c r="F37" i="15"/>
  <c r="E37" i="15"/>
  <c r="D37" i="15"/>
  <c r="B37" i="15"/>
  <c r="I36" i="15"/>
  <c r="F36" i="15"/>
  <c r="E36" i="15"/>
  <c r="D36" i="15"/>
  <c r="B36" i="15"/>
  <c r="I35" i="15"/>
  <c r="F35" i="15"/>
  <c r="E35" i="15"/>
  <c r="D35" i="15"/>
  <c r="B35" i="15"/>
  <c r="U28" i="15"/>
  <c r="S28" i="15"/>
  <c r="U27" i="15"/>
  <c r="S27" i="15"/>
  <c r="Q27" i="15"/>
  <c r="O27" i="15"/>
  <c r="K27" i="15"/>
  <c r="U26" i="15"/>
  <c r="S26" i="15"/>
  <c r="O26" i="15"/>
  <c r="K26" i="15"/>
  <c r="U25" i="15"/>
  <c r="AB48" i="15" s="1"/>
  <c r="S25" i="15"/>
  <c r="K25" i="15"/>
  <c r="U24" i="15"/>
  <c r="S24" i="15"/>
  <c r="O24" i="15"/>
  <c r="K24" i="15"/>
  <c r="I7" i="15"/>
  <c r="A82" i="14"/>
  <c r="A81" i="14"/>
  <c r="A80" i="14"/>
  <c r="A79" i="14"/>
  <c r="A78" i="14"/>
  <c r="A77" i="14"/>
  <c r="A76" i="14"/>
  <c r="A75" i="14"/>
  <c r="A74" i="14"/>
  <c r="A73" i="14"/>
  <c r="A72" i="14"/>
  <c r="A71" i="14"/>
  <c r="A70" i="14"/>
  <c r="C68" i="14"/>
  <c r="C132" i="17" s="1"/>
  <c r="I47" i="14"/>
  <c r="I31" i="14"/>
  <c r="I19" i="14"/>
  <c r="I21" i="14" s="1"/>
  <c r="C24" i="13"/>
  <c r="E23" i="13"/>
  <c r="E22" i="13"/>
  <c r="C13" i="13"/>
  <c r="I10" i="13"/>
  <c r="I13" i="13" s="1"/>
  <c r="I14" i="13" s="1"/>
  <c r="I9" i="13"/>
  <c r="Q25" i="15" s="1"/>
  <c r="U48" i="12"/>
  <c r="U47" i="12"/>
  <c r="C47" i="12"/>
  <c r="U46" i="12"/>
  <c r="U45" i="12"/>
  <c r="C45" i="12"/>
  <c r="E21" i="13" s="1"/>
  <c r="I41" i="12"/>
  <c r="U35" i="12"/>
  <c r="U39" i="12" s="1"/>
  <c r="U40" i="12" s="1"/>
  <c r="C37" i="12"/>
  <c r="D18" i="16" l="1"/>
  <c r="I18" i="16" s="1"/>
  <c r="I38" i="13"/>
  <c r="G18" i="16"/>
  <c r="H18" i="16" s="1"/>
  <c r="E18" i="16"/>
  <c r="U36" i="12"/>
  <c r="U37" i="12" s="1"/>
  <c r="E24" i="13"/>
  <c r="U38" i="12"/>
  <c r="B154" i="17"/>
  <c r="D154" i="17" s="1"/>
  <c r="C68" i="17"/>
  <c r="C108" i="17"/>
  <c r="H159" i="17"/>
  <c r="C71" i="17"/>
  <c r="C72" i="17"/>
  <c r="B155" i="17" s="1"/>
  <c r="D155" i="17" s="1"/>
  <c r="H151" i="17"/>
  <c r="H156" i="17"/>
  <c r="C44" i="17"/>
  <c r="J36" i="13"/>
  <c r="K36" i="13" s="1"/>
  <c r="L36" i="13" s="1"/>
  <c r="M36" i="13" s="1"/>
  <c r="N36" i="13" s="1"/>
  <c r="H38" i="13"/>
  <c r="F38" i="13"/>
  <c r="Q24" i="15"/>
  <c r="K38" i="13"/>
  <c r="C38" i="13"/>
  <c r="J38" i="13"/>
  <c r="Q26" i="15"/>
  <c r="M38" i="13"/>
  <c r="E38" i="13"/>
  <c r="L38" i="13"/>
  <c r="D38" i="13"/>
  <c r="Q28" i="15"/>
  <c r="G38" i="13"/>
  <c r="E40" i="13"/>
  <c r="H150" i="17"/>
  <c r="H158" i="17"/>
  <c r="C41" i="17"/>
  <c r="C67" i="17"/>
  <c r="B153" i="17" s="1"/>
  <c r="D153" i="17" s="1"/>
  <c r="C107" i="17"/>
  <c r="H153" i="17"/>
  <c r="H162" i="17"/>
  <c r="C103" i="17"/>
  <c r="H152" i="17"/>
  <c r="H154" i="17"/>
  <c r="H157" i="17"/>
  <c r="H160" i="17"/>
  <c r="C104" i="17"/>
  <c r="H155" i="17"/>
  <c r="I8" i="15"/>
  <c r="D24" i="16"/>
  <c r="E24" i="16" s="1"/>
  <c r="D27" i="16"/>
  <c r="E27" i="16" s="1"/>
  <c r="D23" i="16"/>
  <c r="E23" i="16" s="1"/>
  <c r="D26" i="16"/>
  <c r="E26" i="16" s="1"/>
  <c r="F21" i="16"/>
  <c r="G21" i="16" s="1"/>
  <c r="H21" i="16" s="1"/>
  <c r="D20" i="16"/>
  <c r="G23" i="16"/>
  <c r="H23" i="16" s="1"/>
  <c r="M48" i="15"/>
  <c r="I48" i="15"/>
  <c r="L50" i="15"/>
  <c r="L52" i="15" s="1"/>
  <c r="C70" i="14"/>
  <c r="C43" i="12"/>
  <c r="I35" i="12" s="1"/>
  <c r="C38" i="12"/>
  <c r="C39" i="12" s="1"/>
  <c r="O35" i="12"/>
  <c r="L55" i="15" l="1"/>
  <c r="K55" i="15"/>
  <c r="G27" i="16"/>
  <c r="H27" i="16" s="1"/>
  <c r="J50" i="15"/>
  <c r="J52" i="15" s="1"/>
  <c r="G24" i="16"/>
  <c r="H24" i="16" s="1"/>
  <c r="K50" i="15"/>
  <c r="K52" i="15" s="1"/>
  <c r="J55" i="15"/>
  <c r="I37" i="12"/>
  <c r="I38" i="12" s="1"/>
  <c r="C143" i="17"/>
  <c r="C145" i="17" s="1"/>
  <c r="C21" i="13"/>
  <c r="E42" i="13"/>
  <c r="F40" i="13"/>
  <c r="O36" i="13"/>
  <c r="N38" i="13"/>
  <c r="C42" i="17"/>
  <c r="C47" i="17"/>
  <c r="I20" i="16"/>
  <c r="E20" i="16"/>
  <c r="I17" i="14" s="1"/>
  <c r="G20" i="16"/>
  <c r="G26" i="16"/>
  <c r="H26" i="16" s="1"/>
  <c r="N48" i="15"/>
  <c r="M50" i="15"/>
  <c r="M52" i="15" s="1"/>
  <c r="M55" i="15"/>
  <c r="I55" i="15"/>
  <c r="I50" i="15"/>
  <c r="I52" i="15" s="1"/>
  <c r="H48" i="15"/>
  <c r="C40" i="12"/>
  <c r="U41" i="12" s="1"/>
  <c r="C41" i="12"/>
  <c r="C42" i="12" s="1"/>
  <c r="B21" i="13" s="1"/>
  <c r="O37" i="12"/>
  <c r="O38" i="12" s="1"/>
  <c r="O41" i="12"/>
  <c r="O36" i="12"/>
  <c r="B23" i="13" s="1"/>
  <c r="C44" i="12"/>
  <c r="C50" i="17" s="1"/>
  <c r="I11" i="12"/>
  <c r="I43" i="14"/>
  <c r="I37" i="14"/>
  <c r="I27" i="14"/>
  <c r="F2" i="1"/>
  <c r="C98" i="17" l="1"/>
  <c r="O42" i="12"/>
  <c r="I36" i="12"/>
  <c r="B22" i="13" s="1"/>
  <c r="P36" i="13"/>
  <c r="O38" i="13"/>
  <c r="F42" i="13"/>
  <c r="G40" i="13"/>
  <c r="C45" i="17"/>
  <c r="C46" i="17" s="1"/>
  <c r="C43" i="17"/>
  <c r="I33" i="14"/>
  <c r="H20" i="16"/>
  <c r="C20" i="17" s="1"/>
  <c r="C21" i="17" s="1"/>
  <c r="C62" i="17" s="1"/>
  <c r="G19" i="16"/>
  <c r="H19" i="16" s="1"/>
  <c r="G48" i="15"/>
  <c r="H55" i="15"/>
  <c r="H50" i="15"/>
  <c r="H52" i="15" s="1"/>
  <c r="O48" i="15"/>
  <c r="N50" i="15"/>
  <c r="N52" i="15" s="1"/>
  <c r="N55" i="15"/>
  <c r="I49" i="14"/>
  <c r="O40" i="12"/>
  <c r="C23" i="13" s="1"/>
  <c r="O39" i="12"/>
  <c r="U43" i="12" s="1"/>
  <c r="AA35" i="12"/>
  <c r="AA36" i="12" s="1"/>
  <c r="AA37" i="12"/>
  <c r="C25" i="13" s="1"/>
  <c r="I40" i="12"/>
  <c r="C22" i="13" s="1"/>
  <c r="I39" i="12"/>
  <c r="U42" i="12" s="1"/>
  <c r="I16" i="14"/>
  <c r="I22" i="14" s="1"/>
  <c r="C61" i="17" l="1"/>
  <c r="C63" i="17"/>
  <c r="B150" i="17" s="1"/>
  <c r="D150" i="17" s="1"/>
  <c r="U44" i="12"/>
  <c r="B24" i="13" s="1"/>
  <c r="P38" i="13"/>
  <c r="Q36" i="13"/>
  <c r="G42" i="13"/>
  <c r="H40" i="13"/>
  <c r="C48" i="17"/>
  <c r="C49" i="17" s="1"/>
  <c r="G50" i="15"/>
  <c r="G52" i="15" s="1"/>
  <c r="F48" i="15"/>
  <c r="G55" i="15"/>
  <c r="O50" i="15"/>
  <c r="O52" i="15" s="1"/>
  <c r="P48" i="15"/>
  <c r="O55" i="15"/>
  <c r="I18" i="14"/>
  <c r="I20" i="14" s="1"/>
  <c r="C71" i="14" s="1"/>
  <c r="I29" i="14"/>
  <c r="I16" i="13"/>
  <c r="D25" i="13" s="1"/>
  <c r="F25" i="13" s="1"/>
  <c r="I38" i="14"/>
  <c r="I45" i="14"/>
  <c r="AA38" i="12"/>
  <c r="AA39" i="12" s="1"/>
  <c r="B25" i="13" s="1"/>
  <c r="C97" i="17" l="1"/>
  <c r="B152" i="17"/>
  <c r="D152" i="17" s="1"/>
  <c r="Q38" i="13"/>
  <c r="R36" i="13"/>
  <c r="I40" i="13"/>
  <c r="H42" i="13"/>
  <c r="I25" i="13"/>
  <c r="J25" i="13" s="1"/>
  <c r="F50" i="15"/>
  <c r="F52" i="15" s="1"/>
  <c r="F55" i="15"/>
  <c r="E48" i="15"/>
  <c r="P55" i="15"/>
  <c r="Q48" i="15"/>
  <c r="P50" i="15"/>
  <c r="P52" i="15" s="1"/>
  <c r="D24" i="13"/>
  <c r="F24" i="13" s="1"/>
  <c r="I24" i="13" s="1"/>
  <c r="J24" i="13" s="1"/>
  <c r="D23" i="13"/>
  <c r="F23" i="13" s="1"/>
  <c r="I23" i="13" s="1"/>
  <c r="J23" i="13" s="1"/>
  <c r="D27" i="13"/>
  <c r="F27" i="13" s="1"/>
  <c r="D26" i="13"/>
  <c r="F26" i="13" s="1"/>
  <c r="D21" i="13"/>
  <c r="F21" i="13" s="1"/>
  <c r="I21" i="13" s="1"/>
  <c r="J21" i="13" s="1"/>
  <c r="D22" i="13"/>
  <c r="F22" i="13" s="1"/>
  <c r="I22" i="13" s="1"/>
  <c r="J22" i="13" s="1"/>
  <c r="S36" i="13" l="1"/>
  <c r="S38" i="13" s="1"/>
  <c r="R38" i="13"/>
  <c r="J40" i="13"/>
  <c r="I42" i="13"/>
  <c r="J30" i="13"/>
  <c r="I7" i="13" s="1"/>
  <c r="Q55" i="15"/>
  <c r="Q50" i="15"/>
  <c r="Q52" i="15" s="1"/>
  <c r="R48" i="15"/>
  <c r="E55" i="15"/>
  <c r="D48" i="15"/>
  <c r="E50" i="15"/>
  <c r="E52" i="15" s="1"/>
  <c r="I29" i="13"/>
  <c r="C41" i="15" l="1"/>
  <c r="G41" i="15" s="1"/>
  <c r="H41" i="15" s="1"/>
  <c r="J41" i="15" s="1"/>
  <c r="M41" i="15" s="1"/>
  <c r="O28" i="15"/>
  <c r="I11" i="13"/>
  <c r="I12" i="13" s="1"/>
  <c r="C72" i="14" s="1"/>
  <c r="C73" i="14" s="1"/>
  <c r="I30" i="14" s="1"/>
  <c r="I28" i="14" s="1"/>
  <c r="C38" i="15"/>
  <c r="G38" i="15" s="1"/>
  <c r="H38" i="15" s="1"/>
  <c r="J38" i="15" s="1"/>
  <c r="M38" i="15" s="1"/>
  <c r="C37" i="15"/>
  <c r="G37" i="15" s="1"/>
  <c r="H37" i="15" s="1"/>
  <c r="J37" i="15" s="1"/>
  <c r="M37" i="15" s="1"/>
  <c r="C39" i="15"/>
  <c r="G39" i="15" s="1"/>
  <c r="H39" i="15" s="1"/>
  <c r="J39" i="15" s="1"/>
  <c r="M39" i="15" s="1"/>
  <c r="L37" i="13"/>
  <c r="D37" i="13"/>
  <c r="S37" i="13"/>
  <c r="K37" i="13"/>
  <c r="C37" i="13"/>
  <c r="N37" i="13"/>
  <c r="F37" i="13"/>
  <c r="M37" i="13"/>
  <c r="E37" i="13"/>
  <c r="O37" i="13"/>
  <c r="J37" i="13"/>
  <c r="H37" i="13"/>
  <c r="G37" i="13"/>
  <c r="R37" i="13"/>
  <c r="D41" i="13"/>
  <c r="Q37" i="13"/>
  <c r="P37" i="13"/>
  <c r="I37" i="13"/>
  <c r="C41" i="13"/>
  <c r="E41" i="13"/>
  <c r="F41" i="13"/>
  <c r="G41" i="13"/>
  <c r="H41" i="13"/>
  <c r="I41" i="13"/>
  <c r="K40" i="13"/>
  <c r="J41" i="13"/>
  <c r="J42" i="13"/>
  <c r="C35" i="15"/>
  <c r="G35" i="15" s="1"/>
  <c r="H35" i="15" s="1"/>
  <c r="J35" i="15" s="1"/>
  <c r="M35" i="15" s="1"/>
  <c r="O25" i="15"/>
  <c r="C40" i="15"/>
  <c r="G40" i="15" s="1"/>
  <c r="H40" i="15" s="1"/>
  <c r="J40" i="15" s="1"/>
  <c r="M40" i="15" s="1"/>
  <c r="C36" i="15"/>
  <c r="G36" i="15" s="1"/>
  <c r="H36" i="15" s="1"/>
  <c r="J36" i="15" s="1"/>
  <c r="M36" i="15" s="1"/>
  <c r="R55" i="15"/>
  <c r="S48" i="15"/>
  <c r="R50" i="15"/>
  <c r="R52" i="15" s="1"/>
  <c r="C48" i="15"/>
  <c r="D55" i="15"/>
  <c r="D50" i="15"/>
  <c r="D52" i="15" s="1"/>
  <c r="I32" i="14" l="1"/>
  <c r="C74" i="14"/>
  <c r="C75" i="14" s="1"/>
  <c r="M42" i="15"/>
  <c r="M56" i="15" s="1"/>
  <c r="L40" i="13"/>
  <c r="K41" i="13"/>
  <c r="K42" i="13"/>
  <c r="C55" i="15"/>
  <c r="C50" i="15"/>
  <c r="C52" i="15" s="1"/>
  <c r="S55" i="15"/>
  <c r="S50" i="15"/>
  <c r="S52" i="15" s="1"/>
  <c r="T48" i="15"/>
  <c r="M28" i="15" l="1"/>
  <c r="J56" i="15"/>
  <c r="Q56" i="15"/>
  <c r="F56" i="15"/>
  <c r="C56" i="15"/>
  <c r="G56" i="15"/>
  <c r="W56" i="15"/>
  <c r="P56" i="15"/>
  <c r="R56" i="15"/>
  <c r="V56" i="15"/>
  <c r="D56" i="15"/>
  <c r="U56" i="15"/>
  <c r="O56" i="15"/>
  <c r="H56" i="15"/>
  <c r="L56" i="15"/>
  <c r="K56" i="15"/>
  <c r="X56" i="15"/>
  <c r="T56" i="15"/>
  <c r="S56" i="15"/>
  <c r="I56" i="15"/>
  <c r="E56" i="15"/>
  <c r="N56" i="15"/>
  <c r="L42" i="13"/>
  <c r="M40" i="13"/>
  <c r="L41" i="13"/>
  <c r="M25" i="15"/>
  <c r="M24" i="15"/>
  <c r="M26" i="15"/>
  <c r="M27" i="15"/>
  <c r="I35" i="14"/>
  <c r="C76" i="14"/>
  <c r="C77" i="14" s="1"/>
  <c r="I36" i="14"/>
  <c r="T55" i="15"/>
  <c r="U48" i="15"/>
  <c r="T50" i="15"/>
  <c r="T52" i="15" s="1"/>
  <c r="T59" i="15" l="1"/>
  <c r="P59" i="15"/>
  <c r="L59" i="15"/>
  <c r="H59" i="15"/>
  <c r="D59" i="15"/>
  <c r="S59" i="15"/>
  <c r="O59" i="15"/>
  <c r="K59" i="15"/>
  <c r="G59" i="15"/>
  <c r="C59" i="15"/>
  <c r="R59" i="15"/>
  <c r="N59" i="15"/>
  <c r="J59" i="15"/>
  <c r="F59" i="15"/>
  <c r="U59" i="15"/>
  <c r="Q59" i="15"/>
  <c r="M59" i="15"/>
  <c r="I59" i="15"/>
  <c r="E59" i="15"/>
  <c r="U58" i="15"/>
  <c r="C58" i="15"/>
  <c r="M58" i="15"/>
  <c r="K58" i="15"/>
  <c r="P58" i="15"/>
  <c r="I58" i="15"/>
  <c r="O58" i="15"/>
  <c r="T58" i="15"/>
  <c r="F58" i="15"/>
  <c r="G58" i="15"/>
  <c r="D58" i="15"/>
  <c r="Q58" i="15"/>
  <c r="H58" i="15"/>
  <c r="E58" i="15"/>
  <c r="R58" i="15"/>
  <c r="L58" i="15"/>
  <c r="J58" i="15"/>
  <c r="S58" i="15"/>
  <c r="N58" i="15"/>
  <c r="I39" i="14"/>
  <c r="I40" i="14" s="1"/>
  <c r="I41" i="14" s="1"/>
  <c r="M42" i="13"/>
  <c r="M41" i="13"/>
  <c r="N40" i="13"/>
  <c r="H62" i="15"/>
  <c r="C62" i="15"/>
  <c r="S62" i="15"/>
  <c r="R62" i="15"/>
  <c r="T62" i="15"/>
  <c r="F62" i="15"/>
  <c r="P62" i="15"/>
  <c r="L62" i="15"/>
  <c r="I62" i="15"/>
  <c r="D62" i="15"/>
  <c r="Q62" i="15"/>
  <c r="E62" i="15"/>
  <c r="O62" i="15"/>
  <c r="J62" i="15"/>
  <c r="K62" i="15"/>
  <c r="U62" i="15"/>
  <c r="G62" i="15"/>
  <c r="M62" i="15"/>
  <c r="N62" i="15"/>
  <c r="V48" i="15"/>
  <c r="V62" i="15" s="1"/>
  <c r="U55" i="15"/>
  <c r="U50" i="15"/>
  <c r="U52" i="15" s="1"/>
  <c r="Q61" i="15"/>
  <c r="P61" i="15"/>
  <c r="O61" i="15"/>
  <c r="J61" i="15"/>
  <c r="I61" i="15"/>
  <c r="S61" i="15"/>
  <c r="E61" i="15"/>
  <c r="K61" i="15"/>
  <c r="H61" i="15"/>
  <c r="C61" i="15"/>
  <c r="R61" i="15"/>
  <c r="U61" i="15"/>
  <c r="D61" i="15"/>
  <c r="N61" i="15"/>
  <c r="T61" i="15"/>
  <c r="F61" i="15"/>
  <c r="L61" i="15"/>
  <c r="G61" i="15"/>
  <c r="M61" i="15"/>
  <c r="C78" i="14"/>
  <c r="C79" i="14" s="1"/>
  <c r="C80" i="14" s="1"/>
  <c r="C81" i="14" s="1"/>
  <c r="C82" i="14" s="1"/>
  <c r="I48" i="14"/>
  <c r="I46" i="14"/>
  <c r="I44" i="14" s="1"/>
  <c r="V58" i="15" l="1"/>
  <c r="V59" i="15"/>
  <c r="V61" i="15"/>
  <c r="N42" i="13"/>
  <c r="N41" i="13"/>
  <c r="O40" i="13"/>
  <c r="C83" i="14"/>
  <c r="C84" i="14" s="1"/>
  <c r="I13" i="15"/>
  <c r="W48" i="15"/>
  <c r="V50" i="15"/>
  <c r="V52" i="15" s="1"/>
  <c r="V55" i="15"/>
  <c r="I14" i="15" l="1"/>
  <c r="V49" i="15" s="1"/>
  <c r="V69" i="15" s="1"/>
  <c r="W58" i="15"/>
  <c r="W59" i="15"/>
  <c r="O41" i="13"/>
  <c r="O42" i="13"/>
  <c r="P40" i="13"/>
  <c r="C85" i="14"/>
  <c r="C135" i="17"/>
  <c r="B158" i="17"/>
  <c r="D158" i="17" s="1"/>
  <c r="B156" i="17"/>
  <c r="D156" i="17" s="1"/>
  <c r="C106" i="17"/>
  <c r="C126" i="17" s="1"/>
  <c r="C40" i="17"/>
  <c r="C60" i="17" s="1"/>
  <c r="W50" i="15"/>
  <c r="W52" i="15" s="1"/>
  <c r="X48" i="15"/>
  <c r="W55" i="15"/>
  <c r="W62" i="15"/>
  <c r="W61" i="15"/>
  <c r="Q49" i="15" l="1"/>
  <c r="Q69" i="15" s="1"/>
  <c r="I49" i="15"/>
  <c r="I69" i="15" s="1"/>
  <c r="M49" i="15"/>
  <c r="M69" i="15" s="1"/>
  <c r="S49" i="15"/>
  <c r="S69" i="15" s="1"/>
  <c r="O49" i="15"/>
  <c r="O69" i="15" s="1"/>
  <c r="K49" i="15"/>
  <c r="K69" i="15" s="1"/>
  <c r="E49" i="15"/>
  <c r="E69" i="15" s="1"/>
  <c r="C49" i="15"/>
  <c r="C69" i="15" s="1"/>
  <c r="G49" i="15"/>
  <c r="G69" i="15" s="1"/>
  <c r="Z48" i="15"/>
  <c r="T49" i="15"/>
  <c r="T69" i="15" s="1"/>
  <c r="R49" i="15"/>
  <c r="R69" i="15" s="1"/>
  <c r="F49" i="15"/>
  <c r="F69" i="15" s="1"/>
  <c r="H49" i="15"/>
  <c r="H69" i="15" s="1"/>
  <c r="J49" i="15"/>
  <c r="J69" i="15" s="1"/>
  <c r="W49" i="15"/>
  <c r="W69" i="15" s="1"/>
  <c r="U49" i="15"/>
  <c r="U69" i="15" s="1"/>
  <c r="D49" i="15"/>
  <c r="D69" i="15" s="1"/>
  <c r="P49" i="15"/>
  <c r="P69" i="15" s="1"/>
  <c r="N49" i="15"/>
  <c r="N69" i="15" s="1"/>
  <c r="L49" i="15"/>
  <c r="L69" i="15" s="1"/>
  <c r="Y48" i="15"/>
  <c r="X59" i="15"/>
  <c r="X58" i="15"/>
  <c r="P41" i="13"/>
  <c r="P42" i="13"/>
  <c r="Q40" i="13"/>
  <c r="C127" i="17"/>
  <c r="C131" i="17"/>
  <c r="C90" i="17"/>
  <c r="C91" i="17" s="1"/>
  <c r="C129" i="17" s="1"/>
  <c r="B151" i="17"/>
  <c r="X55" i="15"/>
  <c r="X50" i="15"/>
  <c r="X52" i="15" s="1"/>
  <c r="X49" i="15"/>
  <c r="X61" i="15"/>
  <c r="X62" i="15"/>
  <c r="I3" i="12" l="1"/>
  <c r="X69" i="15"/>
  <c r="C74" i="15" s="1"/>
  <c r="R40" i="13"/>
  <c r="Q41" i="13"/>
  <c r="Q42" i="13"/>
  <c r="D151" i="17"/>
  <c r="D164" i="17" s="1"/>
  <c r="B164" i="17"/>
  <c r="C134" i="17"/>
  <c r="C133" i="17"/>
  <c r="Z53" i="15"/>
  <c r="Z54" i="15"/>
  <c r="AB60" i="15"/>
  <c r="S40" i="13" l="1"/>
  <c r="R41" i="13"/>
  <c r="R42" i="13"/>
  <c r="B165" i="17"/>
  <c r="B166" i="17" s="1"/>
  <c r="B167" i="17" s="1"/>
  <c r="B168" i="17" s="1"/>
  <c r="B169" i="17"/>
  <c r="D169" i="17"/>
  <c r="C164" i="17"/>
  <c r="H164" i="17" s="1"/>
  <c r="I164" i="17" s="1"/>
  <c r="D165" i="17"/>
  <c r="V71" i="15"/>
  <c r="Q71" i="15"/>
  <c r="J71" i="15"/>
  <c r="W71" i="15"/>
  <c r="R71" i="15"/>
  <c r="U71" i="15"/>
  <c r="I71" i="15"/>
  <c r="G71" i="15"/>
  <c r="O71" i="15"/>
  <c r="E71" i="15"/>
  <c r="K71" i="15"/>
  <c r="C71" i="15"/>
  <c r="T71" i="15"/>
  <c r="M71" i="15"/>
  <c r="D71" i="15"/>
  <c r="H71" i="15"/>
  <c r="P71" i="15"/>
  <c r="N71" i="15"/>
  <c r="F71" i="15"/>
  <c r="S71" i="15"/>
  <c r="L71" i="15"/>
  <c r="X71" i="15"/>
  <c r="T40" i="13" l="1"/>
  <c r="S42" i="13"/>
  <c r="S41" i="13"/>
  <c r="C169" i="17"/>
  <c r="H169" i="17" s="1"/>
  <c r="I169" i="17" s="1"/>
  <c r="D166" i="17"/>
  <c r="C165" i="17"/>
  <c r="H165" i="17" s="1"/>
  <c r="I165" i="17" s="1"/>
  <c r="C75" i="15"/>
  <c r="T42" i="13" l="1"/>
  <c r="U40" i="13"/>
  <c r="T41" i="13"/>
  <c r="C166" i="17"/>
  <c r="H166" i="17" s="1"/>
  <c r="I166" i="17" s="1"/>
  <c r="D167" i="17"/>
  <c r="U42" i="13" l="1"/>
  <c r="V40" i="13"/>
  <c r="U41" i="13"/>
  <c r="C167" i="17"/>
  <c r="H167" i="17" s="1"/>
  <c r="I167" i="17" s="1"/>
  <c r="D168" i="17"/>
  <c r="C168" i="17" s="1"/>
  <c r="H168" i="17" s="1"/>
  <c r="I168" i="17" s="1"/>
  <c r="V42" i="13" l="1"/>
  <c r="W40" i="13"/>
  <c r="V41" i="13"/>
  <c r="W41" i="13" l="1"/>
  <c r="W42" i="13"/>
  <c r="X40" i="13"/>
  <c r="X41" i="13" l="1"/>
  <c r="Y40" i="13"/>
  <c r="X42" i="13"/>
  <c r="Z40" i="13" l="1"/>
  <c r="Y41" i="13"/>
  <c r="Y42" i="13"/>
  <c r="AA40" i="13" l="1"/>
  <c r="Z41" i="13"/>
  <c r="Z42" i="13"/>
  <c r="AB40" i="13" l="1"/>
  <c r="AA41" i="13"/>
  <c r="AA42" i="13"/>
  <c r="AB42" i="13" l="1"/>
  <c r="AC40" i="13"/>
  <c r="AB41" i="13"/>
  <c r="AC42" i="13" l="1"/>
  <c r="AC41" i="13"/>
  <c r="AD40" i="13"/>
  <c r="AD42" i="13" l="1"/>
  <c r="AD41" i="13"/>
  <c r="AE40" i="13"/>
  <c r="AE41" i="13" l="1"/>
  <c r="AE42" i="13"/>
  <c r="AF40" i="13"/>
  <c r="AF41" i="13" l="1"/>
  <c r="AF42" i="13"/>
  <c r="AG40" i="13"/>
  <c r="AH40" i="13" l="1"/>
  <c r="AG41" i="13"/>
  <c r="AG42" i="13"/>
  <c r="AI40" i="13" l="1"/>
  <c r="AH41" i="13"/>
  <c r="AH42" i="13"/>
  <c r="AJ40" i="13" l="1"/>
  <c r="AI42" i="13"/>
  <c r="AI41" i="13"/>
  <c r="AJ42" i="13" l="1"/>
  <c r="AK40" i="13"/>
  <c r="AJ41" i="13"/>
  <c r="AK42" i="13" l="1"/>
  <c r="AL40" i="13"/>
  <c r="AK41" i="13"/>
  <c r="AL42" i="13" l="1"/>
  <c r="AM40" i="13"/>
  <c r="AL41" i="13"/>
  <c r="AM41" i="13" l="1"/>
  <c r="AM42" i="13"/>
  <c r="AN40" i="13"/>
  <c r="AN41" i="13" l="1"/>
  <c r="AO40" i="13"/>
  <c r="AN42" i="13"/>
  <c r="AP40" i="13" l="1"/>
  <c r="AO41" i="13"/>
  <c r="AO42" i="13"/>
  <c r="AQ40" i="13" l="1"/>
  <c r="AP41" i="13"/>
  <c r="AP42" i="13"/>
  <c r="AR40" i="13" l="1"/>
  <c r="AQ41" i="13"/>
  <c r="AQ42" i="13"/>
  <c r="AR42" i="13" l="1"/>
  <c r="AS40" i="13"/>
  <c r="AR41" i="13"/>
  <c r="AS42" i="13" l="1"/>
  <c r="AS41" i="13"/>
  <c r="AT40" i="13"/>
  <c r="AT42" i="13" l="1"/>
  <c r="AT41" i="13"/>
  <c r="AU40" i="13"/>
  <c r="AU41" i="13" l="1"/>
  <c r="AU42" i="13"/>
  <c r="AV40" i="13"/>
  <c r="AV41" i="13" l="1"/>
  <c r="AV42" i="13"/>
  <c r="AW40" i="13"/>
  <c r="AX40" i="13" l="1"/>
  <c r="AW41" i="13"/>
  <c r="AW42" i="13"/>
  <c r="AY40" i="13" l="1"/>
  <c r="AX41" i="13"/>
  <c r="AX42" i="13"/>
  <c r="AZ40" i="13" l="1"/>
  <c r="AY42" i="13"/>
  <c r="AY41" i="13"/>
  <c r="AZ42" i="13" l="1"/>
  <c r="BA40" i="13"/>
  <c r="AZ41" i="13"/>
  <c r="BA42" i="13" l="1"/>
  <c r="BB40" i="13"/>
  <c r="BA41" i="13"/>
  <c r="BB42" i="13" l="1"/>
  <c r="BC40" i="13"/>
  <c r="BB41" i="13"/>
  <c r="BC41" i="13" l="1"/>
  <c r="BC42" i="13"/>
  <c r="BD40" i="13"/>
  <c r="BD41" i="13" l="1"/>
  <c r="BD42" i="13"/>
  <c r="BE40" i="13"/>
  <c r="BF40" i="13" l="1"/>
  <c r="BE41" i="13"/>
  <c r="BE42" i="13"/>
  <c r="BG40" i="13" l="1"/>
  <c r="BF41" i="13"/>
  <c r="BF42" i="13"/>
  <c r="BH40" i="13" l="1"/>
  <c r="BG42" i="13"/>
  <c r="BG41" i="13"/>
  <c r="BH42" i="13" l="1"/>
  <c r="BI40" i="13"/>
  <c r="BH41" i="13"/>
  <c r="BI42" i="13" l="1"/>
  <c r="BI41" i="13"/>
  <c r="BJ40" i="13"/>
  <c r="BJ42" i="13" l="1"/>
  <c r="BJ41" i="13"/>
  <c r="BK40" i="13"/>
  <c r="BK41" i="13" l="1"/>
  <c r="BK42" i="13"/>
  <c r="BL40" i="13"/>
  <c r="BL41" i="13" l="1"/>
  <c r="BM40" i="13"/>
  <c r="BL42" i="13"/>
  <c r="BN40" i="13" l="1"/>
  <c r="BM41" i="13"/>
  <c r="BM42" i="13"/>
  <c r="BO40" i="13" l="1"/>
  <c r="BN41" i="13"/>
  <c r="BN42" i="13"/>
  <c r="BP40" i="13" l="1"/>
  <c r="BO42" i="13"/>
  <c r="BO41" i="13"/>
  <c r="BP42" i="13" l="1"/>
  <c r="BQ40" i="13"/>
  <c r="BP41" i="13"/>
  <c r="BQ42" i="13" l="1"/>
  <c r="BR40" i="13"/>
  <c r="BQ41" i="13"/>
  <c r="BR42" i="13" l="1"/>
  <c r="BS40" i="13"/>
  <c r="BR41" i="13"/>
  <c r="BS41" i="13" l="1"/>
  <c r="BS42" i="13"/>
  <c r="BT40" i="13"/>
  <c r="BT41" i="13" l="1"/>
  <c r="BU40" i="13"/>
  <c r="BT42" i="13"/>
  <c r="BV40" i="13" l="1"/>
  <c r="BU41" i="13"/>
  <c r="BU42" i="13"/>
  <c r="BW40" i="13" l="1"/>
  <c r="BV41" i="13"/>
  <c r="BV42" i="13"/>
  <c r="BX40" i="13" l="1"/>
  <c r="BW41" i="13"/>
  <c r="BW42" i="13"/>
  <c r="BX42" i="13" l="1"/>
  <c r="BY40" i="13"/>
  <c r="BX41" i="13"/>
  <c r="BY42" i="13" l="1"/>
  <c r="BY41" i="13"/>
  <c r="BZ40" i="13"/>
  <c r="BZ42" i="13" l="1"/>
  <c r="BZ41" i="13"/>
  <c r="CA40" i="13"/>
  <c r="CA41" i="13" l="1"/>
  <c r="CA42" i="13"/>
  <c r="CB40" i="13"/>
  <c r="CB41" i="13" l="1"/>
  <c r="CC40" i="13"/>
  <c r="CB42" i="13"/>
  <c r="CD40" i="13" l="1"/>
  <c r="CC41" i="13"/>
  <c r="CC42" i="13"/>
  <c r="CE40" i="13" l="1"/>
  <c r="CD41" i="13"/>
  <c r="CD42" i="13"/>
  <c r="CF40" i="13" l="1"/>
  <c r="CE42" i="13"/>
  <c r="CE41" i="13"/>
  <c r="CF42" i="13" l="1"/>
  <c r="CG40" i="13"/>
  <c r="CF41" i="13"/>
  <c r="CG42" i="13" l="1"/>
  <c r="CH40" i="13"/>
  <c r="CG41" i="13"/>
  <c r="CH42" i="13" l="1"/>
  <c r="CI40" i="13"/>
  <c r="CH41" i="13"/>
  <c r="CI41" i="13" l="1"/>
  <c r="CI42" i="13"/>
  <c r="CJ40" i="13"/>
  <c r="CJ41" i="13" l="1"/>
  <c r="CK40" i="13"/>
  <c r="CJ42" i="13"/>
  <c r="CL40" i="13" l="1"/>
  <c r="CK41" i="13"/>
  <c r="CK42" i="13"/>
  <c r="CM40" i="13" l="1"/>
  <c r="CL41" i="13"/>
  <c r="CL42" i="13"/>
  <c r="CN40" i="13" l="1"/>
  <c r="CM42" i="13"/>
  <c r="CM41" i="13"/>
  <c r="CN42" i="13" l="1"/>
  <c r="CO40" i="13"/>
  <c r="CN41" i="13"/>
  <c r="CO42" i="13" l="1"/>
  <c r="CO41" i="13"/>
</calcChain>
</file>

<file path=xl/comments1.xml><?xml version="1.0" encoding="utf-8"?>
<comments xmlns="http://schemas.openxmlformats.org/spreadsheetml/2006/main">
  <authors>
    <author>Tony Hays</author>
  </authors>
  <commentList>
    <comment ref="C62" authorId="0" shapeId="0">
      <text>
        <r>
          <rPr>
            <b/>
            <sz val="9"/>
            <color indexed="81"/>
            <rFont val="Tahoma"/>
            <family val="2"/>
          </rPr>
          <t>Tony Hays:</t>
        </r>
        <r>
          <rPr>
            <sz val="9"/>
            <color indexed="81"/>
            <rFont val="Tahoma"/>
            <family val="2"/>
          </rPr>
          <t xml:space="preserve">
For a commercial aircraft, reserves are typically defined within the mission profile.</t>
        </r>
      </text>
    </comment>
  </commentList>
</comments>
</file>

<file path=xl/comments2.xml><?xml version="1.0" encoding="utf-8"?>
<comments xmlns="http://schemas.openxmlformats.org/spreadsheetml/2006/main">
  <authors>
    <author>Tony Hays</author>
  </authors>
  <commentList>
    <comment ref="A22" authorId="0" shapeId="0">
      <text>
        <r>
          <rPr>
            <b/>
            <sz val="8"/>
            <color indexed="81"/>
            <rFont val="Tahoma"/>
            <family val="2"/>
          </rPr>
          <t>Tony Hays:</t>
        </r>
        <r>
          <rPr>
            <sz val="8"/>
            <color indexed="81"/>
            <rFont val="Tahoma"/>
            <family val="2"/>
          </rPr>
          <t xml:space="preserve">
Defined as Sref/(wing frontal area)</t>
        </r>
      </text>
    </comment>
  </commentList>
</comments>
</file>

<file path=xl/comments3.xml><?xml version="1.0" encoding="utf-8"?>
<comments xmlns="http://schemas.openxmlformats.org/spreadsheetml/2006/main">
  <authors>
    <author>Tony Hays</author>
  </authors>
  <commentList>
    <comment ref="C10" authorId="0" shapeId="0">
      <text>
        <r>
          <rPr>
            <b/>
            <sz val="8"/>
            <color indexed="81"/>
            <rFont val="Tahoma"/>
            <family val="2"/>
          </rPr>
          <t>Tony Hays:</t>
        </r>
        <r>
          <rPr>
            <sz val="8"/>
            <color indexed="81"/>
            <rFont val="Tahoma"/>
            <family val="2"/>
          </rPr>
          <t xml:space="preserve">
Use NicolaiCarichner Fig G.9</t>
        </r>
      </text>
    </comment>
  </commentList>
</comments>
</file>

<file path=xl/comments4.xml><?xml version="1.0" encoding="utf-8"?>
<comments xmlns="http://schemas.openxmlformats.org/spreadsheetml/2006/main">
  <authors>
    <author>Tony Hays</author>
  </authors>
  <commentList>
    <comment ref="C9" authorId="0" shapeId="0">
      <text>
        <r>
          <rPr>
            <b/>
            <sz val="8"/>
            <color indexed="81"/>
            <rFont val="Tahoma"/>
            <family val="2"/>
          </rPr>
          <t>Tony Hays:</t>
        </r>
        <r>
          <rPr>
            <sz val="8"/>
            <color indexed="81"/>
            <rFont val="Tahoma"/>
            <family val="2"/>
          </rPr>
          <t xml:space="preserve">
Schaufele Fig. 12-15</t>
        </r>
      </text>
    </comment>
    <comment ref="C10" authorId="0" shapeId="0">
      <text>
        <r>
          <rPr>
            <b/>
            <sz val="8"/>
            <color indexed="81"/>
            <rFont val="Tahoma"/>
            <family val="2"/>
          </rPr>
          <t>Tony Hays:</t>
        </r>
        <r>
          <rPr>
            <sz val="8"/>
            <color indexed="81"/>
            <rFont val="Tahoma"/>
            <family val="2"/>
          </rPr>
          <t xml:space="preserve">
Schaufele Fig. 12-17
</t>
        </r>
      </text>
    </comment>
    <comment ref="C14" authorId="0" shapeId="0">
      <text>
        <r>
          <rPr>
            <b/>
            <sz val="8"/>
            <color indexed="81"/>
            <rFont val="Tahoma"/>
            <family val="2"/>
          </rPr>
          <t>Tony Hays:</t>
        </r>
        <r>
          <rPr>
            <sz val="8"/>
            <color indexed="81"/>
            <rFont val="Tahoma"/>
            <family val="2"/>
          </rPr>
          <t xml:space="preserve">
Schaufele Fig. 12-15</t>
        </r>
      </text>
    </comment>
    <comment ref="A28" authorId="0" shapeId="0">
      <text>
        <r>
          <rPr>
            <b/>
            <sz val="8"/>
            <color indexed="81"/>
            <rFont val="Tahoma"/>
            <family val="2"/>
          </rPr>
          <t>Tony Hays:</t>
        </r>
        <r>
          <rPr>
            <sz val="8"/>
            <color indexed="81"/>
            <rFont val="Tahoma"/>
            <family val="2"/>
          </rPr>
          <t xml:space="preserve">
Used for both commercial and mil requirements</t>
        </r>
      </text>
    </comment>
    <comment ref="K28" authorId="0" shapeId="0">
      <text>
        <r>
          <rPr>
            <b/>
            <sz val="8"/>
            <color indexed="81"/>
            <rFont val="Tahoma"/>
            <family val="2"/>
          </rPr>
          <t>Tony Hays:</t>
        </r>
        <r>
          <rPr>
            <sz val="8"/>
            <color indexed="81"/>
            <rFont val="Tahoma"/>
            <family val="2"/>
          </rPr>
          <t xml:space="preserve">
Raymer HBPR engine p. 983</t>
        </r>
      </text>
    </comment>
    <comment ref="A34" authorId="0" shapeId="0">
      <text>
        <r>
          <rPr>
            <b/>
            <sz val="8"/>
            <color indexed="81"/>
            <rFont val="Tahoma"/>
            <family val="2"/>
          </rPr>
          <t>Tony Hays:</t>
        </r>
        <r>
          <rPr>
            <sz val="8"/>
            <color indexed="81"/>
            <rFont val="Tahoma"/>
            <family val="2"/>
          </rPr>
          <t xml:space="preserve">
See Roskam I page 140 et seq.</t>
        </r>
      </text>
    </comment>
    <comment ref="A40" authorId="0" shapeId="0">
      <text>
        <r>
          <rPr>
            <b/>
            <sz val="8"/>
            <color indexed="81"/>
            <rFont val="Tahoma"/>
            <family val="2"/>
          </rPr>
          <t>Tony Hays:</t>
        </r>
        <r>
          <rPr>
            <sz val="8"/>
            <color indexed="81"/>
            <rFont val="Tahoma"/>
            <family val="2"/>
          </rPr>
          <t xml:space="preserve">
Roskam I p.142. gear down.</t>
        </r>
      </text>
    </comment>
    <comment ref="A41" authorId="0" shapeId="0">
      <text>
        <r>
          <rPr>
            <b/>
            <sz val="8"/>
            <color indexed="81"/>
            <rFont val="Tahoma"/>
            <family val="2"/>
          </rPr>
          <t>Tony Hays:</t>
        </r>
        <r>
          <rPr>
            <sz val="8"/>
            <color indexed="81"/>
            <rFont val="Tahoma"/>
            <family val="2"/>
          </rPr>
          <t xml:space="preserve">
See Roskam I p. 142.  Gear up, see 25.121(d)(1)(iv).</t>
        </r>
      </text>
    </comment>
    <comment ref="Z47" authorId="0" shapeId="0">
      <text>
        <r>
          <rPr>
            <b/>
            <sz val="9"/>
            <color indexed="81"/>
            <rFont val="Tahoma"/>
            <family val="2"/>
          </rPr>
          <t>Tony Hays:</t>
        </r>
        <r>
          <rPr>
            <sz val="9"/>
            <color indexed="81"/>
            <rFont val="Tahoma"/>
            <family val="2"/>
          </rPr>
          <t xml:space="preserve">
This cell identifies the landing constraint line on the chart</t>
        </r>
      </text>
    </comment>
    <comment ref="Z48" authorId="0" shapeId="0">
      <text>
        <r>
          <rPr>
            <b/>
            <sz val="9"/>
            <color indexed="81"/>
            <rFont val="Tahoma"/>
            <family val="2"/>
          </rPr>
          <t>Tony Hays:</t>
        </r>
        <r>
          <rPr>
            <sz val="9"/>
            <color indexed="81"/>
            <rFont val="Tahoma"/>
            <family val="2"/>
          </rPr>
          <t xml:space="preserve">
Landing W/S</t>
        </r>
      </text>
    </comment>
    <comment ref="Y53" authorId="0" shapeId="0">
      <text>
        <r>
          <rPr>
            <b/>
            <sz val="9"/>
            <color indexed="81"/>
            <rFont val="Tahoma"/>
            <family val="2"/>
          </rPr>
          <t>Tony Hays:</t>
        </r>
        <r>
          <rPr>
            <sz val="9"/>
            <color indexed="81"/>
            <rFont val="Tahoma"/>
            <family val="2"/>
          </rPr>
          <t xml:space="preserve">
This defines the bottom end of the landing contraint line for military aircraft</t>
        </r>
      </text>
    </comment>
    <comment ref="Z53" authorId="0" shapeId="0">
      <text>
        <r>
          <rPr>
            <b/>
            <sz val="9"/>
            <color indexed="81"/>
            <rFont val="Tahoma"/>
            <family val="2"/>
          </rPr>
          <t>Tony Hays:</t>
        </r>
        <r>
          <rPr>
            <sz val="9"/>
            <color indexed="81"/>
            <rFont val="Tahoma"/>
            <family val="2"/>
          </rPr>
          <t xml:space="preserve">
This finds the maximum value of T/W on this table for all aircraft types for plotting the landing constraint line on the millitary T/W vs T/S plot.</t>
        </r>
      </text>
    </comment>
    <comment ref="Y54" authorId="0" shapeId="0">
      <text>
        <r>
          <rPr>
            <b/>
            <sz val="9"/>
            <color indexed="81"/>
            <rFont val="Tahoma"/>
            <family val="2"/>
          </rPr>
          <t>Tony Hays:</t>
        </r>
        <r>
          <rPr>
            <sz val="9"/>
            <color indexed="81"/>
            <rFont val="Tahoma"/>
            <family val="2"/>
          </rPr>
          <t xml:space="preserve">
This defines the bottom end of the landing constraint line for commercial aircraft</t>
        </r>
      </text>
    </comment>
    <comment ref="Z54" authorId="0" shapeId="0">
      <text>
        <r>
          <rPr>
            <b/>
            <sz val="9"/>
            <color indexed="81"/>
            <rFont val="Tahoma"/>
            <family val="2"/>
          </rPr>
          <t>Tony Hays:</t>
        </r>
        <r>
          <rPr>
            <sz val="9"/>
            <color indexed="81"/>
            <rFont val="Tahoma"/>
            <family val="2"/>
          </rPr>
          <t xml:space="preserve">
This finds the maximum value of T/W for commercial aircraft for plotting on the commercial aircraft T/W vs W/S plot</t>
        </r>
      </text>
    </comment>
    <comment ref="AA60" authorId="0" shapeId="0">
      <text>
        <r>
          <rPr>
            <b/>
            <sz val="9"/>
            <color indexed="81"/>
            <rFont val="Tahoma"/>
            <family val="2"/>
          </rPr>
          <t>Tony Hays:</t>
        </r>
        <r>
          <rPr>
            <sz val="9"/>
            <color indexed="81"/>
            <rFont val="Tahoma"/>
            <family val="2"/>
          </rPr>
          <t xml:space="preserve">
This defines the bottom end of the inst turn rate</t>
        </r>
      </text>
    </comment>
    <comment ref="AB60" authorId="0" shapeId="0">
      <text>
        <r>
          <rPr>
            <b/>
            <sz val="9"/>
            <color indexed="81"/>
            <rFont val="Tahoma"/>
            <family val="2"/>
          </rPr>
          <t>Tony Hays:</t>
        </r>
        <r>
          <rPr>
            <sz val="9"/>
            <color indexed="81"/>
            <rFont val="Tahoma"/>
            <family val="2"/>
          </rPr>
          <t xml:space="preserve">
This defines the top end of the inst turn rate</t>
        </r>
      </text>
    </comment>
  </commentList>
</comments>
</file>

<file path=xl/comments5.xml><?xml version="1.0" encoding="utf-8"?>
<comments xmlns="http://schemas.openxmlformats.org/spreadsheetml/2006/main">
  <authors>
    <author>Tony Hays</author>
  </authors>
  <commentList>
    <comment ref="E8" authorId="0" shapeId="0">
      <text>
        <r>
          <rPr>
            <b/>
            <sz val="8"/>
            <color indexed="81"/>
            <rFont val="Tahoma"/>
            <family val="2"/>
          </rPr>
          <t>Tony Hays:</t>
        </r>
        <r>
          <rPr>
            <sz val="8"/>
            <color indexed="81"/>
            <rFont val="Tahoma"/>
            <family val="2"/>
          </rPr>
          <t xml:space="preserve">
These cell contents don't do anything.  They are just reference numbers.</t>
        </r>
      </text>
    </comment>
    <comment ref="C60" authorId="0" shapeId="0">
      <text>
        <r>
          <rPr>
            <b/>
            <sz val="8"/>
            <color indexed="81"/>
            <rFont val="Tahoma"/>
            <family val="2"/>
          </rPr>
          <t>Tony Hays:</t>
        </r>
        <r>
          <rPr>
            <sz val="8"/>
            <color indexed="81"/>
            <rFont val="Tahoma"/>
            <family val="2"/>
          </rPr>
          <t xml:space="preserve">
Torenbeek =n 8-12
Not valid for wing-mounted engines</t>
        </r>
      </text>
    </comment>
    <comment ref="C129" authorId="0" shapeId="0">
      <text>
        <r>
          <rPr>
            <b/>
            <sz val="9"/>
            <color indexed="81"/>
            <rFont val="Tahoma"/>
            <family val="2"/>
          </rPr>
          <t>Tony Hays:</t>
        </r>
        <r>
          <rPr>
            <sz val="9"/>
            <color indexed="81"/>
            <rFont val="Tahoma"/>
            <family val="2"/>
          </rPr>
          <t xml:space="preserve">
In this cell, write either TOR.OEW or GD.OEW, depending on which weight method you wish to use.
The value in this cell is copied to the cell WEITDIFF2 on the Baseline sheet.</t>
        </r>
      </text>
    </comment>
    <comment ref="C148" authorId="0" shapeId="0">
      <text>
        <r>
          <rPr>
            <b/>
            <sz val="8"/>
            <color indexed="81"/>
            <rFont val="Tahoma"/>
            <family val="2"/>
          </rPr>
          <t>Tony Hays:</t>
        </r>
        <r>
          <rPr>
            <sz val="8"/>
            <color indexed="81"/>
            <rFont val="Tahoma"/>
            <family val="2"/>
          </rPr>
          <t xml:space="preserve">
Referenced to the nose of the airplane.</t>
        </r>
      </text>
    </comment>
  </commentList>
</comments>
</file>

<file path=xl/sharedStrings.xml><?xml version="1.0" encoding="utf-8"?>
<sst xmlns="http://schemas.openxmlformats.org/spreadsheetml/2006/main" count="870" uniqueCount="757">
  <si>
    <t>MICROASSET</t>
  </si>
  <si>
    <t>DATE WRITTEN:</t>
  </si>
  <si>
    <t>09/06/88</t>
  </si>
  <si>
    <t>ADVANCED DESIGN SIZING PROGRAM</t>
  </si>
  <si>
    <t>TODAY'S DATE:</t>
  </si>
  <si>
    <t>Baseline aircraft dimensions and weights</t>
  </si>
  <si>
    <t>Mission model to calculate fuel fraction</t>
  </si>
  <si>
    <t>Performance constraints (T/W and W/S)</t>
  </si>
  <si>
    <t>Component weight buildup</t>
  </si>
  <si>
    <t>Propulsion data</t>
  </si>
  <si>
    <t>Atmospheric conditions</t>
  </si>
  <si>
    <t>Aerodynamic data</t>
  </si>
  <si>
    <t>DRAG POLARS</t>
  </si>
  <si>
    <t>BALANCE</t>
  </si>
  <si>
    <t>BASELINE AIRCRAFT DATA:</t>
  </si>
  <si>
    <t xml:space="preserve"> </t>
  </si>
  <si>
    <t>Takeoff gross weight [lb]</t>
  </si>
  <si>
    <t>TOGW</t>
  </si>
  <si>
    <t>Crew + equipment [lb]</t>
  </si>
  <si>
    <t>CREW</t>
  </si>
  <si>
    <t>Payload weight (exc. crew)</t>
  </si>
  <si>
    <t>WPAY</t>
  </si>
  <si>
    <t>Expendables [lb]</t>
  </si>
  <si>
    <t>EXPEND</t>
  </si>
  <si>
    <t>Fixed payload [lb]</t>
  </si>
  <si>
    <t>PAYLOAD</t>
  </si>
  <si>
    <t>TOW</t>
  </si>
  <si>
    <t>WOS</t>
  </si>
  <si>
    <t>Used in empty weight equations:</t>
  </si>
  <si>
    <t>Ultimate load factor</t>
  </si>
  <si>
    <t>NULT</t>
  </si>
  <si>
    <t>Max sea level Mach no.</t>
  </si>
  <si>
    <t>MMAX</t>
  </si>
  <si>
    <t>Max q [lb/ft²]</t>
  </si>
  <si>
    <t>QMAX</t>
  </si>
  <si>
    <t>Aircraft geometry.</t>
  </si>
  <si>
    <t>(Note: Aspect ratio MUST be defined. All other geometry can be undefined,</t>
  </si>
  <si>
    <t>must be specified.)</t>
  </si>
  <si>
    <t>Wing:</t>
  </si>
  <si>
    <t>Horizontal tail:</t>
  </si>
  <si>
    <t>Vertical tail:</t>
  </si>
  <si>
    <t>Fuselage:</t>
  </si>
  <si>
    <t>Nacelles:</t>
  </si>
  <si>
    <t>Aspect ratio</t>
  </si>
  <si>
    <t>AR</t>
  </si>
  <si>
    <t>Tail volume coefficient</t>
  </si>
  <si>
    <t>VHBAR</t>
  </si>
  <si>
    <t>VVBAR</t>
  </si>
  <si>
    <t>Length [ft]</t>
  </si>
  <si>
    <t>LFUSE</t>
  </si>
  <si>
    <t>Number of nacelles:</t>
  </si>
  <si>
    <t>NNAC</t>
  </si>
  <si>
    <t>Taper ratio</t>
  </si>
  <si>
    <t>LAMBDA</t>
  </si>
  <si>
    <t xml:space="preserve"> (based on exposed area)</t>
  </si>
  <si>
    <t>Max height [ft]</t>
  </si>
  <si>
    <t>HFUSE</t>
  </si>
  <si>
    <t>Fnref/Nac X-s area [lb/ft²]</t>
  </si>
  <si>
    <t>TOANAC</t>
  </si>
  <si>
    <t>TOC</t>
  </si>
  <si>
    <t>ARHTAIL</t>
  </si>
  <si>
    <t>ARVTAIL</t>
  </si>
  <si>
    <t>Width @ wing root [ft]</t>
  </si>
  <si>
    <t>WFUSE</t>
  </si>
  <si>
    <t>(Fnref)^0.4/Nacelle length</t>
  </si>
  <si>
    <t>TOLNAC</t>
  </si>
  <si>
    <t>LESWEEP</t>
  </si>
  <si>
    <t>Root thickness/chord</t>
  </si>
  <si>
    <t>TOCROOTHT</t>
  </si>
  <si>
    <t>TOCROOTVT</t>
  </si>
  <si>
    <t>Length of nose [ft]</t>
  </si>
  <si>
    <t>LNOSE</t>
  </si>
  <si>
    <t>Pylon wet area [ft²]</t>
  </si>
  <si>
    <t>APYLON</t>
  </si>
  <si>
    <t>Airfoil max t/c loc. [/c]</t>
  </si>
  <si>
    <t>TOCLOC</t>
  </si>
  <si>
    <t>LAMBDAHT</t>
  </si>
  <si>
    <t>LAMTAIL</t>
  </si>
  <si>
    <t>Length of // section [ft]</t>
  </si>
  <si>
    <t>LPARA</t>
  </si>
  <si>
    <t xml:space="preserve"> (less pylon &amp; wing cutouts)</t>
  </si>
  <si>
    <t>Lift surface corr. factor</t>
  </si>
  <si>
    <t>RLS</t>
  </si>
  <si>
    <t>Fixed stabilizer? [Y or N]</t>
  </si>
  <si>
    <t>FIXSTAB</t>
  </si>
  <si>
    <t>Y</t>
  </si>
  <si>
    <t>Quarter chord sweep [°]</t>
  </si>
  <si>
    <t>TAILSWP</t>
  </si>
  <si>
    <t>=nt diam. of exhaust [ft]</t>
  </si>
  <si>
    <t>DEXHAUST</t>
  </si>
  <si>
    <t xml:space="preserve"> (Nicolai Fig. 11-8)</t>
  </si>
  <si>
    <t>Semichord sweep [°]</t>
  </si>
  <si>
    <t>LAMBDA2H</t>
  </si>
  <si>
    <t>Tail moment arm [ft]</t>
  </si>
  <si>
    <t>LVT</t>
  </si>
  <si>
    <t>Inlets on fuselage?[Y or N]</t>
  </si>
  <si>
    <t>INFUSE</t>
  </si>
  <si>
    <t>N</t>
  </si>
  <si>
    <t>Variable sweep? [Y or N]</t>
  </si>
  <si>
    <t>VARSWP</t>
  </si>
  <si>
    <t>LHT</t>
  </si>
  <si>
    <t>Horizontal tail height</t>
  </si>
  <si>
    <t>HTRATIO</t>
  </si>
  <si>
    <t>Pressurized fuse? [Y or N]</t>
  </si>
  <si>
    <t>PFUSE</t>
  </si>
  <si>
    <t xml:space="preserve"> (Ratio of horizontal tail location</t>
  </si>
  <si>
    <t>MLG on fuse? [Y or N]</t>
  </si>
  <si>
    <t>MLGFUSE</t>
  </si>
  <si>
    <t xml:space="preserve"> to vertical tail height)</t>
  </si>
  <si>
    <t>Cargo floor? [Y or N]</t>
  </si>
  <si>
    <t>CARGFUSE</t>
  </si>
  <si>
    <t>Derived values are valid for the baseline vehicle only.</t>
  </si>
  <si>
    <t>Derived values:</t>
  </si>
  <si>
    <t>Reference wing area [ft²]</t>
  </si>
  <si>
    <t>Sref</t>
  </si>
  <si>
    <t>Exposed tail area [ft²]</t>
  </si>
  <si>
    <t>SHT</t>
  </si>
  <si>
    <t>SVT</t>
  </si>
  <si>
    <t>=nt fuselage diameter [ft]</t>
  </si>
  <si>
    <t>DEQUIV</t>
  </si>
  <si>
    <t>Nacelle X-s area [ft²]</t>
  </si>
  <si>
    <t>AXSNAC</t>
  </si>
  <si>
    <t>Wing span [ft]</t>
  </si>
  <si>
    <t>SPAN</t>
  </si>
  <si>
    <t>Wetted area [ft²]</t>
  </si>
  <si>
    <t>SHTWET</t>
  </si>
  <si>
    <t>SVTWET</t>
  </si>
  <si>
    <t>Nose area parameter [ft]</t>
  </si>
  <si>
    <t>PNOSE</t>
  </si>
  <si>
    <t>Nacelle diameter [ft]</t>
  </si>
  <si>
    <t>DNAC</t>
  </si>
  <si>
    <t>Wing root chord [ft]</t>
  </si>
  <si>
    <t>CROOT</t>
  </si>
  <si>
    <t>Span [ft]</t>
  </si>
  <si>
    <t>BHT</t>
  </si>
  <si>
    <t>Height [ft]</t>
  </si>
  <si>
    <t>HVT</t>
  </si>
  <si>
    <t>Wet area of nose [ft²]</t>
  </si>
  <si>
    <t>ANOSE</t>
  </si>
  <si>
    <t>Nacelle length [ft]</t>
  </si>
  <si>
    <t>LNAC</t>
  </si>
  <si>
    <t>Wing tip chord [ft]</t>
  </si>
  <si>
    <t>CTIP</t>
  </si>
  <si>
    <t>Root chord [ft]</t>
  </si>
  <si>
    <t>CROOTHT</t>
  </si>
  <si>
    <t>CROOTVT</t>
  </si>
  <si>
    <t>Wet area of //section [ft²]</t>
  </si>
  <si>
    <t>APARA</t>
  </si>
  <si>
    <t>Nacelle wet area [ft²]</t>
  </si>
  <si>
    <t>NACWET</t>
  </si>
  <si>
    <t>Wing chord @SOB [ft]</t>
  </si>
  <si>
    <t>CSOB</t>
  </si>
  <si>
    <t>Root thickness [ft]</t>
  </si>
  <si>
    <t>TROOTHT</t>
  </si>
  <si>
    <t>TROOTVT</t>
  </si>
  <si>
    <t>Tail area parameter [ft]</t>
  </si>
  <si>
    <t>PTAIL</t>
  </si>
  <si>
    <t>Total wetted area [ft²]</t>
  </si>
  <si>
    <t>ANAC</t>
  </si>
  <si>
    <t>Wing thickness @SOB [ft]</t>
  </si>
  <si>
    <t>TSOB</t>
  </si>
  <si>
    <t>MAC horizontal tail [ft]</t>
  </si>
  <si>
    <t>MACHT</t>
  </si>
  <si>
    <t>MAC vertical tail [ft]</t>
  </si>
  <si>
    <t>MACVT</t>
  </si>
  <si>
    <t>Wet area of frustrum [ft²]</t>
  </si>
  <si>
    <t>ATAIL</t>
  </si>
  <si>
    <t xml:space="preserve"> (all nacelles and pylons)</t>
  </si>
  <si>
    <t>Ref wing area in fuse [ft²]</t>
  </si>
  <si>
    <t>Sfuse</t>
  </si>
  <si>
    <t>Wt. factor [RIII =n 5.19]</t>
  </si>
  <si>
    <t>KH</t>
  </si>
  <si>
    <t>Assumed rudder area [ft²]</t>
  </si>
  <si>
    <t>SR</t>
  </si>
  <si>
    <t>Wing cut-outs [ft²]</t>
  </si>
  <si>
    <t>AWINGSOB</t>
  </si>
  <si>
    <t>Wing wetted area [ft²]</t>
  </si>
  <si>
    <t>SWETWING</t>
  </si>
  <si>
    <t>Horiz. tail cut-outs [ft²]</t>
  </si>
  <si>
    <t>AHTSOB</t>
  </si>
  <si>
    <t>MAC [ft]</t>
  </si>
  <si>
    <t>MAC</t>
  </si>
  <si>
    <t>KV</t>
  </si>
  <si>
    <t>Vert. tail cut-out [ft²]</t>
  </si>
  <si>
    <t>AVTSOB</t>
  </si>
  <si>
    <t>Semi-chord sweep [°]</t>
  </si>
  <si>
    <t>SWEEP2</t>
  </si>
  <si>
    <t>Net fuse. wetted area [ft²]</t>
  </si>
  <si>
    <t>AFUSE</t>
  </si>
  <si>
    <t>Wing form factor constant</t>
  </si>
  <si>
    <t>L</t>
  </si>
  <si>
    <t>Inlet structural constant</t>
  </si>
  <si>
    <t>KINL</t>
  </si>
  <si>
    <t xml:space="preserve"> (Nicolai =n 11-13)</t>
  </si>
  <si>
    <t>KF1</t>
  </si>
  <si>
    <t>Var. sweep struct. factor</t>
  </si>
  <si>
    <t>KPIV</t>
  </si>
  <si>
    <t>Kf2</t>
  </si>
  <si>
    <t>KF2</t>
  </si>
  <si>
    <t xml:space="preserve"> (Nicolai =n 20-1)</t>
  </si>
  <si>
    <t>Kf3</t>
  </si>
  <si>
    <t>KF3</t>
  </si>
  <si>
    <t>AERODYNAMIC DATA</t>
  </si>
  <si>
    <t>ASSUMED VALUES:</t>
  </si>
  <si>
    <t>DERIVED VALUES:</t>
  </si>
  <si>
    <t>CDO</t>
  </si>
  <si>
    <t xml:space="preserve"> (assumed or calculated)</t>
  </si>
  <si>
    <t>CDOSUB</t>
  </si>
  <si>
    <t>Subsonic K</t>
  </si>
  <si>
    <t>KSUB</t>
  </si>
  <si>
    <t>Oswald efficiency factor</t>
  </si>
  <si>
    <t>E</t>
  </si>
  <si>
    <t>Supersonic K</t>
  </si>
  <si>
    <t>KSUP</t>
  </si>
  <si>
    <t>LODMAXSB</t>
  </si>
  <si>
    <t>CDOSUP</t>
  </si>
  <si>
    <t>LODSUBCR</t>
  </si>
  <si>
    <t>Supercruise Mach</t>
  </si>
  <si>
    <t>MSUPER</t>
  </si>
  <si>
    <t>LODMAXSP</t>
  </si>
  <si>
    <t>LODSUPCR</t>
  </si>
  <si>
    <t>Reynolds No./ft @cr.alt</t>
  </si>
  <si>
    <t>REPERFT</t>
  </si>
  <si>
    <t>Minimum Drag Buildup:</t>
  </si>
  <si>
    <t>Component</t>
  </si>
  <si>
    <t>Factor</t>
  </si>
  <si>
    <t>f</t>
  </si>
  <si>
    <t>Wing</t>
  </si>
  <si>
    <t>Horizontal Tail</t>
  </si>
  <si>
    <t>Vertical Tail</t>
  </si>
  <si>
    <t>Fuselage</t>
  </si>
  <si>
    <t>Nacelles</t>
  </si>
  <si>
    <t>Tanks</t>
  </si>
  <si>
    <t>Misc</t>
  </si>
  <si>
    <t>---------</t>
  </si>
  <si>
    <t>F</t>
  </si>
  <si>
    <t>CDOCALC</t>
  </si>
  <si>
    <t>Turn phase switch off if segment is omitted.</t>
  </si>
  <si>
    <t>Phase 1 - Takeoff:</t>
  </si>
  <si>
    <t>Phase 1 switch</t>
  </si>
  <si>
    <t>SWITCH1</t>
  </si>
  <si>
    <t>T.O. fuel burn [%TOGW]</t>
  </si>
  <si>
    <t>TOBURN</t>
  </si>
  <si>
    <t>Phase 2 - Climb &amp; Accel:</t>
  </si>
  <si>
    <t>Initial speed [ft/sec]</t>
  </si>
  <si>
    <t>VINIT</t>
  </si>
  <si>
    <t>Phase 2 switch</t>
  </si>
  <si>
    <t>SWITCH2</t>
  </si>
  <si>
    <t>Final speed [ft/sec]</t>
  </si>
  <si>
    <t>VFIN</t>
  </si>
  <si>
    <t>Initial Mach No.</t>
  </si>
  <si>
    <t>MINIT</t>
  </si>
  <si>
    <t>Average climb q [lb/sqft]</t>
  </si>
  <si>
    <t>QAVECL</t>
  </si>
  <si>
    <t>Initial alt [ft]</t>
  </si>
  <si>
    <t>HINIT</t>
  </si>
  <si>
    <t>Av. climb alt [ft]</t>
  </si>
  <si>
    <t>HAVECL</t>
  </si>
  <si>
    <t>Cruise Mach</t>
  </si>
  <si>
    <t>MFIN</t>
  </si>
  <si>
    <t>Average climb L/D</t>
  </si>
  <si>
    <t>LODCLIMB</t>
  </si>
  <si>
    <t>Cruise alt [ft]</t>
  </si>
  <si>
    <t>HFIN</t>
  </si>
  <si>
    <t>Average climb T/W</t>
  </si>
  <si>
    <t>TOWCLIMB</t>
  </si>
  <si>
    <t>Phase 3 - Subsonic Cruise:</t>
  </si>
  <si>
    <t>Delta spec. energy [ft]</t>
  </si>
  <si>
    <t>DELHECL</t>
  </si>
  <si>
    <t>Phase 3 switch</t>
  </si>
  <si>
    <t>SWITCH3</t>
  </si>
  <si>
    <t>Subsonic cr. dist [n.m.]</t>
  </si>
  <si>
    <t>SUBDIST</t>
  </si>
  <si>
    <t>Phase 4 - Loiter (for ASW):</t>
  </si>
  <si>
    <t>Phase 4 switch</t>
  </si>
  <si>
    <t>SWITCH4</t>
  </si>
  <si>
    <t>Loiter alt [ft]</t>
  </si>
  <si>
    <t>LOITALT</t>
  </si>
  <si>
    <t>Supercruise vel. [ft/sec]</t>
  </si>
  <si>
    <t>VSUPER</t>
  </si>
  <si>
    <t>Loiter Mach No.</t>
  </si>
  <si>
    <t>LOITMACH</t>
  </si>
  <si>
    <t>Average accn. L/D</t>
  </si>
  <si>
    <t>LODACCN</t>
  </si>
  <si>
    <t>Loiter endurance [hr]</t>
  </si>
  <si>
    <t>LOITEND</t>
  </si>
  <si>
    <t>Average accn. q [lb/sqft]</t>
  </si>
  <si>
    <t>QAVEACCN</t>
  </si>
  <si>
    <t>Phase 5 - Accel to Supercruise:</t>
  </si>
  <si>
    <t>Approx accn. W/S [lb/sqft]</t>
  </si>
  <si>
    <t>WOSACCN</t>
  </si>
  <si>
    <t>Phase 5 switch</t>
  </si>
  <si>
    <t>SWITCH5</t>
  </si>
  <si>
    <t>Average acc. alt. [ft]</t>
  </si>
  <si>
    <t>HAVEACCN</t>
  </si>
  <si>
    <t>Average accn. T/W</t>
  </si>
  <si>
    <t>TOWACCN</t>
  </si>
  <si>
    <t>Supercruise alt [ft]</t>
  </si>
  <si>
    <t>SUPALT</t>
  </si>
  <si>
    <t>DELHEACN</t>
  </si>
  <si>
    <t>Phase 6 - Supersonic Penetration:</t>
  </si>
  <si>
    <t>Phase 6 switch</t>
  </si>
  <si>
    <t>SWITCH6</t>
  </si>
  <si>
    <t>Combat W/S [lb/sqft]</t>
  </si>
  <si>
    <t>WOSCOMB</t>
  </si>
  <si>
    <t>Supercruise dist. [n.m.]</t>
  </si>
  <si>
    <t>SUPDIST</t>
  </si>
  <si>
    <t xml:space="preserve">Combat T/W </t>
  </si>
  <si>
    <t>TOWCOMB</t>
  </si>
  <si>
    <t>Phase 7 - Combat (final):</t>
  </si>
  <si>
    <t>Final combat vel. [ft/sec]</t>
  </si>
  <si>
    <t>VCOMBEND</t>
  </si>
  <si>
    <t>Phase 7 switch</t>
  </si>
  <si>
    <t>SWITCH7</t>
  </si>
  <si>
    <t>Av. combat q [lb/sqft]</t>
  </si>
  <si>
    <t>QCOMBAT</t>
  </si>
  <si>
    <t>Number of turns</t>
  </si>
  <si>
    <t>NTURNS</t>
  </si>
  <si>
    <t>Max g in combat</t>
  </si>
  <si>
    <t>NG</t>
  </si>
  <si>
    <t>Final combat Mach no.</t>
  </si>
  <si>
    <t>MEND</t>
  </si>
  <si>
    <t>Turn rate [°/sec]</t>
  </si>
  <si>
    <t>PSIDOT</t>
  </si>
  <si>
    <t>Final combat alt. [ft]</t>
  </si>
  <si>
    <t>HEND</t>
  </si>
  <si>
    <t>Turn endurance [sec]</t>
  </si>
  <si>
    <t>ETURNS</t>
  </si>
  <si>
    <t>Phase 8 - Drop weapons:</t>
  </si>
  <si>
    <t>Phase 8 switch</t>
  </si>
  <si>
    <t>SWITCH8</t>
  </si>
  <si>
    <t>VSUPER2</t>
  </si>
  <si>
    <t>Weight of weapons [lb]</t>
  </si>
  <si>
    <t>WEAPWEIT</t>
  </si>
  <si>
    <t>LODACN2</t>
  </si>
  <si>
    <t>Phase 9 - Climb &amp; Accel:</t>
  </si>
  <si>
    <t>QAVEACN2</t>
  </si>
  <si>
    <t>Phase 9 switch</t>
  </si>
  <si>
    <t>SWITCH9</t>
  </si>
  <si>
    <t>WOSACN2</t>
  </si>
  <si>
    <t>Final vel [Mach]</t>
  </si>
  <si>
    <t>MENDCLB</t>
  </si>
  <si>
    <t>HAVEACN2</t>
  </si>
  <si>
    <t>Final alt [ft]</t>
  </si>
  <si>
    <t>HENDCLB</t>
  </si>
  <si>
    <t>TOWACN2</t>
  </si>
  <si>
    <t>Phase 10 - Supercruise Return:</t>
  </si>
  <si>
    <t>DELHEAC2</t>
  </si>
  <si>
    <t>Phase 10 switch</t>
  </si>
  <si>
    <t>SWITCH10</t>
  </si>
  <si>
    <t>Phase 11 - Subsonic Cruise:</t>
  </si>
  <si>
    <t>Phase 11 switch</t>
  </si>
  <si>
    <t>SWITCH11</t>
  </si>
  <si>
    <t>HCRUISE</t>
  </si>
  <si>
    <t>MCRUISE</t>
  </si>
  <si>
    <t>Phase 12 - Descent:</t>
  </si>
  <si>
    <t>Phase 12 switch</t>
  </si>
  <si>
    <t>SWITCH12</t>
  </si>
  <si>
    <t>Fuel burn [%weight]</t>
  </si>
  <si>
    <t>FUELDESC</t>
  </si>
  <si>
    <t>Phase 13 - Land &amp; Taxi:</t>
  </si>
  <si>
    <t>Phase 13 switch</t>
  </si>
  <si>
    <t>SWITCH13</t>
  </si>
  <si>
    <t>FUELLAND</t>
  </si>
  <si>
    <t>Fuel reserves [% mission]</t>
  </si>
  <si>
    <t>FUELRES</t>
  </si>
  <si>
    <t>MISSION CALCULATIONS</t>
  </si>
  <si>
    <t>v</t>
  </si>
  <si>
    <t>Takeoff gross weight</t>
  </si>
  <si>
    <t>Mission fuel</t>
  </si>
  <si>
    <t>Fuel plus reserves</t>
  </si>
  <si>
    <t>Empty weight available [lb]</t>
  </si>
  <si>
    <t>WEITDIFF</t>
  </si>
  <si>
    <t>PERFORMANCE CONSTRAINTS</t>
  </si>
  <si>
    <t>Using Nicolai's methods (mostly)</t>
  </si>
  <si>
    <t>Takeoff:</t>
  </si>
  <si>
    <t>Takeoff distance to 50ft</t>
  </si>
  <si>
    <t>TODIST</t>
  </si>
  <si>
    <t>Runway altitude</t>
  </si>
  <si>
    <t>FIELDALT</t>
  </si>
  <si>
    <t>CLMAXTO</t>
  </si>
  <si>
    <t>Sigma @ takeoff</t>
  </si>
  <si>
    <t>SIGMATO</t>
  </si>
  <si>
    <t>DELCDOTO</t>
  </si>
  <si>
    <t>DELCDOGR</t>
  </si>
  <si>
    <t>Landing:</t>
  </si>
  <si>
    <t>CLMAXLD</t>
  </si>
  <si>
    <t>Landing wt/TOGW</t>
  </si>
  <si>
    <t>LANDWEIT</t>
  </si>
  <si>
    <t>DELCDOLD</t>
  </si>
  <si>
    <t>W/S @ landing</t>
  </si>
  <si>
    <t>WOSLAND</t>
  </si>
  <si>
    <t>(Nicolai =n 6-5)</t>
  </si>
  <si>
    <t>Combat:</t>
  </si>
  <si>
    <t>Load factor</t>
  </si>
  <si>
    <t>NGREQD</t>
  </si>
  <si>
    <t xml:space="preserve">(Note: this is the required value and may not be the </t>
  </si>
  <si>
    <t>SEP [ft/sec]</t>
  </si>
  <si>
    <t>SEP</t>
  </si>
  <si>
    <t>same as the derived value in the sizing routine)</t>
  </si>
  <si>
    <t>CLMAXCOM</t>
  </si>
  <si>
    <t>Weight</t>
  </si>
  <si>
    <t>Velocity</t>
  </si>
  <si>
    <t>Mach</t>
  </si>
  <si>
    <t>Alt</t>
  </si>
  <si>
    <t>Load</t>
  </si>
  <si>
    <t>Pressure</t>
  </si>
  <si>
    <t>Performance Requirements:</t>
  </si>
  <si>
    <t>[ft]</t>
  </si>
  <si>
    <t>[ft/sec]</t>
  </si>
  <si>
    <t>Sustained load factor [g]</t>
  </si>
  <si>
    <t>MACH1</t>
  </si>
  <si>
    <t>ALT1</t>
  </si>
  <si>
    <t>SEP1</t>
  </si>
  <si>
    <t>TOTREF1</t>
  </si>
  <si>
    <t>WOWREF1</t>
  </si>
  <si>
    <t>CDO1</t>
  </si>
  <si>
    <t>KAY1</t>
  </si>
  <si>
    <t>Inst. turn rate [°/sec]</t>
  </si>
  <si>
    <t>MACH2</t>
  </si>
  <si>
    <t>ALT2</t>
  </si>
  <si>
    <t>SEP2</t>
  </si>
  <si>
    <t>TOTREF2</t>
  </si>
  <si>
    <t>WOWREF2</t>
  </si>
  <si>
    <t>CDO2</t>
  </si>
  <si>
    <t>KAY2</t>
  </si>
  <si>
    <t>SEP @1g [ft/sec]</t>
  </si>
  <si>
    <t>MACH3</t>
  </si>
  <si>
    <t>ALT3</t>
  </si>
  <si>
    <t>SEP3</t>
  </si>
  <si>
    <t>TOTREF3</t>
  </si>
  <si>
    <t>WOWREF3</t>
  </si>
  <si>
    <t>CDO3</t>
  </si>
  <si>
    <t>KAY3</t>
  </si>
  <si>
    <t>SEP @5g [ft/sec]</t>
  </si>
  <si>
    <t>MACH4</t>
  </si>
  <si>
    <t>ALT4</t>
  </si>
  <si>
    <t>SEP4</t>
  </si>
  <si>
    <t>TORREF4</t>
  </si>
  <si>
    <t>WOWREF4</t>
  </si>
  <si>
    <t>CDO4</t>
  </si>
  <si>
    <t>KAY4</t>
  </si>
  <si>
    <t>Cruise Mach req'm't</t>
  </si>
  <si>
    <t>MACH5</t>
  </si>
  <si>
    <t>ALT5</t>
  </si>
  <si>
    <t>SEP5</t>
  </si>
  <si>
    <t>TOTREF5</t>
  </si>
  <si>
    <t>WOWREF5</t>
  </si>
  <si>
    <t>CDO5</t>
  </si>
  <si>
    <t>KAY5</t>
  </si>
  <si>
    <t>Eng. out</t>
  </si>
  <si>
    <t>FAR Part 25 climb req'ts</t>
  </si>
  <si>
    <t>factor</t>
  </si>
  <si>
    <t>e</t>
  </si>
  <si>
    <t>CL</t>
  </si>
  <si>
    <t>CD</t>
  </si>
  <si>
    <t>L/D</t>
  </si>
  <si>
    <t>CGR[%]</t>
  </si>
  <si>
    <t>T/W req'd</t>
  </si>
  <si>
    <t>FAR 25.121 (at Vlof)</t>
  </si>
  <si>
    <t>FAR 25.121(c) (init climb)</t>
  </si>
  <si>
    <t>FAR 25.111(c) (2nd s climb)</t>
  </si>
  <si>
    <t>FAR 25.121(c) (Enrte climb)</t>
  </si>
  <si>
    <t>FAR 25.119 (baulk ldg)</t>
  </si>
  <si>
    <t>FAR 25.121(d) (baulk ldg)</t>
  </si>
  <si>
    <t>T/W for FAR climb</t>
  </si>
  <si>
    <t>TOWFAR</t>
  </si>
  <si>
    <t>First</t>
  </si>
  <si>
    <t>guess</t>
  </si>
  <si>
    <t>Increments in wing loading</t>
  </si>
  <si>
    <t>WOSDIFF</t>
  </si>
  <si>
    <t>Landing</t>
  </si>
  <si>
    <t>Wing Loading [lb/ft²]</t>
  </si>
  <si>
    <t>Landing W/S pointer</t>
  </si>
  <si>
    <t>Takeoff constant in Nicolai =n 6-3</t>
  </si>
  <si>
    <t>Takeoff (Nicolai =n 6-3)</t>
  </si>
  <si>
    <t>Landing (for FAR graph)</t>
  </si>
  <si>
    <t>Takeoff (Roskam I, =n 3.8)</t>
  </si>
  <si>
    <t>FAR Part 25 climb</t>
  </si>
  <si>
    <t>This finds the highest T/W for all constraint lines at a given W/S</t>
  </si>
  <si>
    <t>Max value</t>
  </si>
  <si>
    <t>POINTER2</t>
  </si>
  <si>
    <t>This finds the minimum permissible T/W and corresponding W/S</t>
  </si>
  <si>
    <t>TOGW required</t>
  </si>
  <si>
    <t>T/W required</t>
  </si>
  <si>
    <t>TOWREQD</t>
  </si>
  <si>
    <t>W/S required</t>
  </si>
  <si>
    <t>WOSREQD</t>
  </si>
  <si>
    <t>Graph labels:</t>
  </si>
  <si>
    <t>ATMOSPHERIC CONDITIONS</t>
  </si>
  <si>
    <t>Sp. heat ratio (gamma)</t>
  </si>
  <si>
    <t>GAMMA</t>
  </si>
  <si>
    <t>G</t>
  </si>
  <si>
    <t xml:space="preserve">Gas constant </t>
  </si>
  <si>
    <t>R</t>
  </si>
  <si>
    <t>Lapse rate [°F/ft]</t>
  </si>
  <si>
    <t>LAPSE</t>
  </si>
  <si>
    <t>Standard day temp @ SL [°F]</t>
  </si>
  <si>
    <t>T0</t>
  </si>
  <si>
    <t>Standard day density @ SL [slugs/cu.ft]</t>
  </si>
  <si>
    <t>RO0</t>
  </si>
  <si>
    <t>Delta temperature @ SL [ISA+°F]</t>
  </si>
  <si>
    <t>DELTAT</t>
  </si>
  <si>
    <t>Pressure @ SL [psi]</t>
  </si>
  <si>
    <t>PSL</t>
  </si>
  <si>
    <t>Density @ SL [slugs/cu.ft]</t>
  </si>
  <si>
    <t>ROSL</t>
  </si>
  <si>
    <t xml:space="preserve">Relative </t>
  </si>
  <si>
    <t>Absolute</t>
  </si>
  <si>
    <t>Temp</t>
  </si>
  <si>
    <t>Sp.sound</t>
  </si>
  <si>
    <t>Density</t>
  </si>
  <si>
    <t>Viscosity</t>
  </si>
  <si>
    <t>[°F]</t>
  </si>
  <si>
    <t>[psi]</t>
  </si>
  <si>
    <t>[sl/cuft]</t>
  </si>
  <si>
    <t>[sigma]</t>
  </si>
  <si>
    <t>[sl/ft/s]</t>
  </si>
  <si>
    <t xml:space="preserve">Average values </t>
  </si>
  <si>
    <t>EMPTY WEIGHT BUILDUP:</t>
  </si>
  <si>
    <t>First term, A</t>
  </si>
  <si>
    <t>A</t>
  </si>
  <si>
    <t>Standard:</t>
  </si>
  <si>
    <t>Second term, B</t>
  </si>
  <si>
    <t>B</t>
  </si>
  <si>
    <t>Wing [%]</t>
  </si>
  <si>
    <t>RFWING</t>
  </si>
  <si>
    <t>Horizontal tail [%]</t>
  </si>
  <si>
    <t>RFHORZT</t>
  </si>
  <si>
    <t>Vertical tail [%]</t>
  </si>
  <si>
    <t>RFVERTT</t>
  </si>
  <si>
    <t>Fuselage [%]</t>
  </si>
  <si>
    <t>RFFUSE</t>
  </si>
  <si>
    <t>Nacelles [%]</t>
  </si>
  <si>
    <t>RFNAC</t>
  </si>
  <si>
    <t>Landing gear [%]</t>
  </si>
  <si>
    <t>RFGEAR</t>
  </si>
  <si>
    <t>Performance-related variables:</t>
  </si>
  <si>
    <t>Max cruise speed [KEAS]</t>
  </si>
  <si>
    <t>KEASMAXC</t>
  </si>
  <si>
    <t>Max design speed [KEAS]</t>
  </si>
  <si>
    <t>KEASMAXD</t>
  </si>
  <si>
    <t>Powerplant-related variables:</t>
  </si>
  <si>
    <t>TJ or LBR TF? [Y or N]</t>
  </si>
  <si>
    <t>ENGTYPE</t>
  </si>
  <si>
    <t>Afterburner? [Y or N]</t>
  </si>
  <si>
    <t>BURNER</t>
  </si>
  <si>
    <t>Buried engine(s)? [Y or N]</t>
  </si>
  <si>
    <t>BURIED</t>
  </si>
  <si>
    <t>Inlet duct length [ft]</t>
  </si>
  <si>
    <t>LDUCT</t>
  </si>
  <si>
    <t>Thrust/Capt Area [lb/ft²]</t>
  </si>
  <si>
    <t>TOACAPT</t>
  </si>
  <si>
    <t>Curved duct X-sec? [Y/N]</t>
  </si>
  <si>
    <t>CURVE</t>
  </si>
  <si>
    <t>No. of buried inlets</t>
  </si>
  <si>
    <t>NINL</t>
  </si>
  <si>
    <t>Bladder tanks? [Y or N]</t>
  </si>
  <si>
    <t>BLADDER</t>
  </si>
  <si>
    <t>Fuel density [lb/gal]</t>
  </si>
  <si>
    <t>KFSP</t>
  </si>
  <si>
    <t>Numbering system from Roskam Part V</t>
  </si>
  <si>
    <t>Max zero fuel weight [lb]</t>
  </si>
  <si>
    <t>Max wing root thickness [ft]</t>
  </si>
  <si>
    <t>Ref wing area [ft²]</t>
  </si>
  <si>
    <t>MAC [ft²]</t>
  </si>
  <si>
    <t>Horizontal tail area [ft²]</t>
  </si>
  <si>
    <t>Vertical tail area [ft²]</t>
  </si>
  <si>
    <t>Horizontal tail span [ft]</t>
  </si>
  <si>
    <t>Horizontal tail root thickness [ft]</t>
  </si>
  <si>
    <t>Effective Span [ft]</t>
  </si>
  <si>
    <t>5. Structure:</t>
  </si>
  <si>
    <t xml:space="preserve"> 5.1 Wing </t>
  </si>
  <si>
    <t xml:space="preserve"> 5.2 Horizontal Tail</t>
  </si>
  <si>
    <t xml:space="preserve"> 5.2 Vertical Tail</t>
  </si>
  <si>
    <t xml:space="preserve"> 5.3 Fuselage</t>
  </si>
  <si>
    <t xml:space="preserve"> 5.4 Nacelles</t>
  </si>
  <si>
    <t xml:space="preserve"> 5.5 Landing gear</t>
  </si>
  <si>
    <t>6. Propulsion:</t>
  </si>
  <si>
    <t xml:space="preserve"> 6.1 Engine:</t>
  </si>
  <si>
    <t xml:space="preserve"> 6.2 Air induction</t>
  </si>
  <si>
    <t xml:space="preserve"> 6.3 Propeller</t>
  </si>
  <si>
    <t xml:space="preserve"> 6.4 Fuel system</t>
  </si>
  <si>
    <t xml:space="preserve"> 6.5 Propulsion accessories</t>
  </si>
  <si>
    <t>7. Fixed equipment</t>
  </si>
  <si>
    <t xml:space="preserve"> 7.1 Flight controls</t>
  </si>
  <si>
    <t xml:space="preserve"> 7.2 Hydraulics/pneumatics</t>
  </si>
  <si>
    <t xml:space="preserve"> 7.3 Electrical</t>
  </si>
  <si>
    <t xml:space="preserve"> 7.4 Instrumentation</t>
  </si>
  <si>
    <t xml:space="preserve"> 7.5 ECS and anti-ice</t>
  </si>
  <si>
    <t xml:space="preserve"> 7.6 Oxygen</t>
  </si>
  <si>
    <t xml:space="preserve"> 7.7 APU</t>
  </si>
  <si>
    <t xml:space="preserve"> 7.8 Furnishings</t>
  </si>
  <si>
    <t xml:space="preserve"> 7.9 Baggage &amp; cargo</t>
  </si>
  <si>
    <t xml:space="preserve"> 7.10 Operational items</t>
  </si>
  <si>
    <t xml:space="preserve"> 7.11 Armament</t>
  </si>
  <si>
    <t xml:space="preserve"> 7.12 Weapons</t>
  </si>
  <si>
    <t xml:space="preserve"> 7.13 Flight test instrumentation</t>
  </si>
  <si>
    <t xml:space="preserve"> 7.14 Auxiliary gear</t>
  </si>
  <si>
    <t xml:space="preserve"> 7.15 Ballast</t>
  </si>
  <si>
    <t xml:space="preserve"> 7.16 Paint</t>
  </si>
  <si>
    <t xml:space="preserve">  </t>
  </si>
  <si>
    <t>Empty weight req'd buildup (Torenbeek)[lb]</t>
  </si>
  <si>
    <t>OEW (Torenbeek) [lb]</t>
  </si>
  <si>
    <t>Structures (except nacelles): using the GD method in Nicolai (for fighter aircraft)</t>
  </si>
  <si>
    <t>Systems (plus nacelles): using Torenbeek method</t>
  </si>
  <si>
    <t>Empty weight req'd buildup (GD)[lb]</t>
  </si>
  <si>
    <t>OEW (GD) [lb]</t>
  </si>
  <si>
    <t>Baseline</t>
  </si>
  <si>
    <t xml:space="preserve">    Empty weight fraction [We/Wo]</t>
  </si>
  <si>
    <t xml:space="preserve">    Crew + expendables [Wpay/Wo]</t>
  </si>
  <si>
    <t xml:space="preserve">    (We+Wpay)/Wo</t>
  </si>
  <si>
    <t xml:space="preserve">    Fuel frac. available </t>
  </si>
  <si>
    <t xml:space="preserve">    1-(Fuel frac req'd)</t>
  </si>
  <si>
    <t>For point design (initial values) only</t>
  </si>
  <si>
    <t>Assumed values:</t>
  </si>
  <si>
    <t>LEMAC - wing CG [in]</t>
  </si>
  <si>
    <t>LEMACWCG</t>
  </si>
  <si>
    <t>MAC [in]</t>
  </si>
  <si>
    <t>MACIN</t>
  </si>
  <si>
    <t>Location of LEMAC [in]</t>
  </si>
  <si>
    <t>LEMAC</t>
  </si>
  <si>
    <t>Location of TEMAC [in]</t>
  </si>
  <si>
    <t>TEMAC</t>
  </si>
  <si>
    <t>x</t>
  </si>
  <si>
    <t>Wx</t>
  </si>
  <si>
    <t>y</t>
  </si>
  <si>
    <t>Wy</t>
  </si>
  <si>
    <t>x-LEMAC</t>
  </si>
  <si>
    <t>x/cbar</t>
  </si>
  <si>
    <t>[lb]</t>
  </si>
  <si>
    <t>[in]</t>
  </si>
  <si>
    <t>[lb in]</t>
  </si>
  <si>
    <t>Fuselage group</t>
  </si>
  <si>
    <t>Wing group</t>
  </si>
  <si>
    <t>Empennage group</t>
  </si>
  <si>
    <t>Engine group</t>
  </si>
  <si>
    <t>Landing gear group</t>
  </si>
  <si>
    <t>Fixed equipment group</t>
  </si>
  <si>
    <t>Trapped fuel &amp; oil</t>
  </si>
  <si>
    <t>Crew</t>
  </si>
  <si>
    <t>Fuel</t>
  </si>
  <si>
    <t>Passengers</t>
  </si>
  <si>
    <t>Baggage</t>
  </si>
  <si>
    <t>Cargo</t>
  </si>
  <si>
    <t>Military load</t>
  </si>
  <si>
    <t>Weight Empty</t>
  </si>
  <si>
    <t>Operating Weight Empty</t>
  </si>
  <si>
    <t>Zero Fuel Weight</t>
  </si>
  <si>
    <t>Takeoff Gross Weight</t>
  </si>
  <si>
    <t>Zero Payload Weight</t>
  </si>
  <si>
    <t>PROPULSION DATA: (Provisional)</t>
  </si>
  <si>
    <t>The following inputs apply to turbojet or turbofan engines only.</t>
  </si>
  <si>
    <t>Number of engines</t>
  </si>
  <si>
    <t>Max cont/TO ref thrust</t>
  </si>
  <si>
    <t>TRATIO</t>
  </si>
  <si>
    <t>LO thrust/TO ref thrust</t>
  </si>
  <si>
    <t>LORATIO</t>
  </si>
  <si>
    <t>Combat thrust/TO ref thrust</t>
  </si>
  <si>
    <t>COMRATIO</t>
  </si>
  <si>
    <t>Lapse rate [%/1000ft]</t>
  </si>
  <si>
    <t>TLAPSE</t>
  </si>
  <si>
    <t>Climb sfc [lb/lb/hr]</t>
  </si>
  <si>
    <t>SFCCL</t>
  </si>
  <si>
    <t>Cruise sfc [lb/lb/hr]</t>
  </si>
  <si>
    <t>SFCCR</t>
  </si>
  <si>
    <t>Loiter sfc [lb/lb/hr]</t>
  </si>
  <si>
    <t>SFCLO</t>
  </si>
  <si>
    <t>Supcruise sfc [lb/lb/hr]</t>
  </si>
  <si>
    <t>SFCSUPER</t>
  </si>
  <si>
    <t>Combat sfc [lb/lb/hr]</t>
  </si>
  <si>
    <t>SFCCOMB</t>
  </si>
  <si>
    <t>Takeoff sfc [lb/lb/hr]</t>
  </si>
  <si>
    <t>SFCTO</t>
  </si>
  <si>
    <t>Ref thrust/engine</t>
  </si>
  <si>
    <t>FNREF</t>
  </si>
  <si>
    <t xml:space="preserve">Lift coefficient </t>
  </si>
  <si>
    <t>Drag coeff (subsonic)</t>
  </si>
  <si>
    <t>Drag coeff (supersonic)</t>
  </si>
  <si>
    <t>Drag coefficient</t>
  </si>
  <si>
    <t>Lift coefficient (subsonic)</t>
  </si>
  <si>
    <t>Lift coefficient (supersonic)</t>
  </si>
  <si>
    <t>Subsonic</t>
  </si>
  <si>
    <t>Supersonic</t>
  </si>
  <si>
    <r>
      <t>in which case, set assumed value of C</t>
    </r>
    <r>
      <rPr>
        <vertAlign val="subscript"/>
        <sz val="10"/>
        <rFont val="Calibri"/>
        <family val="2"/>
        <scheme val="minor"/>
      </rPr>
      <t>Do</t>
    </r>
    <r>
      <rPr>
        <sz val="10"/>
        <rFont val="Calibri"/>
        <family val="2"/>
        <scheme val="minor"/>
      </rPr>
      <t xml:space="preserve"> to zero.</t>
    </r>
  </si>
  <si>
    <r>
      <t>in which case C</t>
    </r>
    <r>
      <rPr>
        <vertAlign val="subscript"/>
        <sz val="10"/>
        <rFont val="Calibri"/>
        <family val="2"/>
        <scheme val="minor"/>
      </rPr>
      <t>Do</t>
    </r>
    <r>
      <rPr>
        <sz val="10"/>
        <rFont val="Calibri"/>
        <family val="2"/>
        <scheme val="minor"/>
      </rPr>
      <t xml:space="preserve"> and the empty weight correlation coefficients, A and B,</t>
    </r>
  </si>
  <si>
    <t>We(reqd) - We(avail)</t>
  </si>
  <si>
    <t>Aerodynamics</t>
  </si>
  <si>
    <t>Mission</t>
  </si>
  <si>
    <t>Performance</t>
  </si>
  <si>
    <t>Wt &amp; Balance</t>
  </si>
  <si>
    <t>Atmosphere</t>
  </si>
  <si>
    <t>Propulsion</t>
  </si>
  <si>
    <r>
      <t>C</t>
    </r>
    <r>
      <rPr>
        <vertAlign val="subscript"/>
        <sz val="10"/>
        <rFont val="Calibri"/>
        <family val="2"/>
        <scheme val="minor"/>
      </rPr>
      <t>Do</t>
    </r>
  </si>
  <si>
    <t>Form Factor</t>
  </si>
  <si>
    <r>
      <t>C</t>
    </r>
    <r>
      <rPr>
        <vertAlign val="subscript"/>
        <sz val="10"/>
        <rFont val="Calibri"/>
        <family val="2"/>
        <scheme val="minor"/>
      </rPr>
      <t>Dw</t>
    </r>
  </si>
  <si>
    <r>
      <t>R</t>
    </r>
    <r>
      <rPr>
        <vertAlign val="subscript"/>
        <sz val="10"/>
        <rFont val="Calibri"/>
        <family val="2"/>
        <scheme val="minor"/>
      </rPr>
      <t>e</t>
    </r>
  </si>
  <si>
    <r>
      <t>C</t>
    </r>
    <r>
      <rPr>
        <vertAlign val="subscript"/>
        <sz val="10"/>
        <rFont val="Calibri"/>
        <family val="2"/>
        <scheme val="minor"/>
      </rPr>
      <t>F</t>
    </r>
  </si>
  <si>
    <r>
      <t>S</t>
    </r>
    <r>
      <rPr>
        <vertAlign val="subscript"/>
        <sz val="10"/>
        <rFont val="Calibri"/>
        <family val="2"/>
        <scheme val="minor"/>
      </rPr>
      <t>wet</t>
    </r>
  </si>
  <si>
    <t>Reference Length [ft]</t>
  </si>
  <si>
    <r>
      <t>Subsonic (L/D)</t>
    </r>
    <r>
      <rPr>
        <vertAlign val="subscript"/>
        <sz val="10"/>
        <rFont val="Calibri"/>
        <family val="2"/>
        <scheme val="minor"/>
      </rPr>
      <t>max</t>
    </r>
  </si>
  <si>
    <r>
      <t>Subsonic (L/D)</t>
    </r>
    <r>
      <rPr>
        <vertAlign val="subscript"/>
        <sz val="10"/>
        <rFont val="Calibri"/>
        <family val="2"/>
        <scheme val="minor"/>
      </rPr>
      <t>cruise</t>
    </r>
  </si>
  <si>
    <r>
      <t>Supersonic (L/D)</t>
    </r>
    <r>
      <rPr>
        <vertAlign val="subscript"/>
        <sz val="10"/>
        <rFont val="Calibri"/>
        <family val="2"/>
        <scheme val="minor"/>
      </rPr>
      <t>max</t>
    </r>
  </si>
  <si>
    <r>
      <t>Supersonic (L/D)</t>
    </r>
    <r>
      <rPr>
        <vertAlign val="subscript"/>
        <sz val="10"/>
        <rFont val="Calibri"/>
        <family val="2"/>
        <scheme val="minor"/>
      </rPr>
      <t>cruise</t>
    </r>
  </si>
  <si>
    <r>
      <t>Subsonic C</t>
    </r>
    <r>
      <rPr>
        <vertAlign val="subscript"/>
        <sz val="10"/>
        <rFont val="Calibri"/>
        <family val="2"/>
        <scheme val="minor"/>
      </rPr>
      <t>Do</t>
    </r>
  </si>
  <si>
    <r>
      <t>If geometry is defined, C</t>
    </r>
    <r>
      <rPr>
        <vertAlign val="subscript"/>
        <sz val="10"/>
        <rFont val="Calibri"/>
        <family val="2"/>
        <scheme val="minor"/>
      </rPr>
      <t>Do</t>
    </r>
    <r>
      <rPr>
        <sz val="10"/>
        <rFont val="Calibri"/>
        <family val="2"/>
        <scheme val="minor"/>
      </rPr>
      <t xml:space="preserve"> will be calculated;</t>
    </r>
  </si>
  <si>
    <t>MISSION PROFILE</t>
  </si>
  <si>
    <t>Assumed Wing loading [lb/sq.ft]</t>
  </si>
  <si>
    <t>Average t/c</t>
  </si>
  <si>
    <r>
      <t>Taper ratio (</t>
    </r>
    <r>
      <rPr>
        <sz val="10"/>
        <rFont val="Calibri"/>
        <family val="2"/>
      </rPr>
      <t>λ)</t>
    </r>
  </si>
  <si>
    <r>
      <t>Leading edge sweep (</t>
    </r>
    <r>
      <rPr>
        <sz val="10"/>
        <rFont val="Calibri"/>
        <family val="2"/>
      </rPr>
      <t>Λ</t>
    </r>
    <r>
      <rPr>
        <vertAlign val="subscript"/>
        <sz val="10"/>
        <rFont val="Calibri"/>
        <family val="2"/>
      </rPr>
      <t>le</t>
    </r>
    <r>
      <rPr>
        <sz val="10"/>
        <rFont val="Calibri"/>
        <family val="2"/>
      </rPr>
      <t xml:space="preserve">) </t>
    </r>
    <r>
      <rPr>
        <sz val="10"/>
        <rFont val="Calibri"/>
        <family val="2"/>
        <scheme val="minor"/>
      </rPr>
      <t>[°]</t>
    </r>
  </si>
  <si>
    <r>
      <t>Assumed (T/W)</t>
    </r>
    <r>
      <rPr>
        <vertAlign val="subscript"/>
        <sz val="10"/>
        <rFont val="Calibri"/>
        <family val="2"/>
        <scheme val="minor"/>
      </rPr>
      <t>ref</t>
    </r>
    <r>
      <rPr>
        <sz val="10"/>
        <rFont val="Calibri"/>
        <family val="2"/>
        <scheme val="minor"/>
      </rPr>
      <t xml:space="preserve"> </t>
    </r>
  </si>
  <si>
    <t>GD.OEW</t>
  </si>
  <si>
    <t>TOR.OEW</t>
  </si>
  <si>
    <t>SPANEFF</t>
  </si>
  <si>
    <r>
      <t>C</t>
    </r>
    <r>
      <rPr>
        <vertAlign val="subscript"/>
        <sz val="10"/>
        <rFont val="Calibri"/>
        <family val="2"/>
        <scheme val="minor"/>
      </rPr>
      <t>Do</t>
    </r>
    <r>
      <rPr>
        <sz val="10"/>
        <rFont val="Calibri"/>
        <family val="2"/>
        <scheme val="minor"/>
      </rPr>
      <t xml:space="preserve"> is assumed to be independent of vehicle size.</t>
    </r>
  </si>
  <si>
    <r>
      <t>C</t>
    </r>
    <r>
      <rPr>
        <vertAlign val="subscript"/>
        <sz val="10"/>
        <rFont val="Calibri"/>
        <family val="2"/>
        <scheme val="minor"/>
      </rPr>
      <t>L</t>
    </r>
  </si>
  <si>
    <r>
      <t>C</t>
    </r>
    <r>
      <rPr>
        <vertAlign val="subscript"/>
        <sz val="10"/>
        <rFont val="Calibri"/>
        <family val="2"/>
        <scheme val="minor"/>
      </rPr>
      <t>D</t>
    </r>
  </si>
  <si>
    <r>
      <t>T/T</t>
    </r>
    <r>
      <rPr>
        <vertAlign val="subscript"/>
        <sz val="10"/>
        <rFont val="Calibri"/>
        <family val="2"/>
        <scheme val="minor"/>
      </rPr>
      <t>ref</t>
    </r>
  </si>
  <si>
    <r>
      <t>W/W</t>
    </r>
    <r>
      <rPr>
        <vertAlign val="subscript"/>
        <sz val="10"/>
        <rFont val="Calibri"/>
        <family val="2"/>
        <scheme val="minor"/>
      </rPr>
      <t>ref</t>
    </r>
  </si>
  <si>
    <r>
      <t>(T/W)</t>
    </r>
    <r>
      <rPr>
        <vertAlign val="subscript"/>
        <sz val="10"/>
        <rFont val="Calibri"/>
        <family val="2"/>
        <scheme val="minor"/>
      </rPr>
      <t>ref</t>
    </r>
  </si>
  <si>
    <r>
      <t>C</t>
    </r>
    <r>
      <rPr>
        <vertAlign val="subscript"/>
        <sz val="10"/>
        <rFont val="Calibri"/>
        <family val="2"/>
        <scheme val="minor"/>
      </rPr>
      <t>Lmax</t>
    </r>
    <r>
      <rPr>
        <sz val="10"/>
        <rFont val="Calibri"/>
        <family val="2"/>
        <scheme val="minor"/>
      </rPr>
      <t xml:space="preserve"> (takeoff)</t>
    </r>
  </si>
  <si>
    <r>
      <t>C</t>
    </r>
    <r>
      <rPr>
        <vertAlign val="subscript"/>
        <sz val="10"/>
        <rFont val="Calibri"/>
        <family val="2"/>
        <scheme val="minor"/>
      </rPr>
      <t>Lmax</t>
    </r>
    <r>
      <rPr>
        <sz val="10"/>
        <rFont val="Calibri"/>
        <family val="2"/>
        <scheme val="minor"/>
      </rPr>
      <t xml:space="preserve"> (landing)</t>
    </r>
  </si>
  <si>
    <r>
      <rPr>
        <sz val="10"/>
        <rFont val="Calibri"/>
        <family val="2"/>
      </rPr>
      <t>Δ</t>
    </r>
    <r>
      <rPr>
        <sz val="10"/>
        <rFont val="Calibri"/>
        <family val="2"/>
        <scheme val="minor"/>
      </rPr>
      <t>C</t>
    </r>
    <r>
      <rPr>
        <vertAlign val="subscript"/>
        <sz val="10"/>
        <rFont val="Calibri"/>
        <family val="2"/>
        <scheme val="minor"/>
      </rPr>
      <t>Do</t>
    </r>
    <r>
      <rPr>
        <sz val="10"/>
        <rFont val="Calibri"/>
        <family val="2"/>
        <scheme val="minor"/>
      </rPr>
      <t xml:space="preserve"> (landing flap)</t>
    </r>
  </si>
  <si>
    <r>
      <rPr>
        <sz val="10"/>
        <rFont val="Calibri"/>
        <family val="2"/>
      </rPr>
      <t>Δ</t>
    </r>
    <r>
      <rPr>
        <sz val="10"/>
        <rFont val="Calibri"/>
        <family val="2"/>
        <scheme val="minor"/>
      </rPr>
      <t>C</t>
    </r>
    <r>
      <rPr>
        <vertAlign val="subscript"/>
        <sz val="10"/>
        <rFont val="Calibri"/>
        <family val="2"/>
        <scheme val="minor"/>
      </rPr>
      <t>Do</t>
    </r>
    <r>
      <rPr>
        <sz val="10"/>
        <rFont val="Calibri"/>
        <family val="2"/>
        <scheme val="minor"/>
      </rPr>
      <t xml:space="preserve"> (takeoff flap)</t>
    </r>
  </si>
  <si>
    <r>
      <rPr>
        <sz val="10"/>
        <rFont val="Calibri"/>
        <family val="2"/>
      </rPr>
      <t>Δ</t>
    </r>
    <r>
      <rPr>
        <sz val="10"/>
        <rFont val="Calibri"/>
        <family val="2"/>
        <scheme val="minor"/>
      </rPr>
      <t>C</t>
    </r>
    <r>
      <rPr>
        <vertAlign val="subscript"/>
        <sz val="10"/>
        <rFont val="Calibri"/>
        <family val="2"/>
        <scheme val="minor"/>
      </rPr>
      <t>Do</t>
    </r>
    <r>
      <rPr>
        <sz val="10"/>
        <rFont val="Calibri"/>
        <family val="2"/>
        <scheme val="minor"/>
      </rPr>
      <t xml:space="preserve"> (landing gear)</t>
    </r>
  </si>
  <si>
    <r>
      <t>C</t>
    </r>
    <r>
      <rPr>
        <vertAlign val="subscript"/>
        <sz val="10"/>
        <rFont val="Calibri"/>
        <family val="2"/>
        <scheme val="minor"/>
      </rPr>
      <t>Lmax</t>
    </r>
    <r>
      <rPr>
        <sz val="10"/>
        <rFont val="Calibri"/>
        <family val="2"/>
        <scheme val="minor"/>
      </rPr>
      <t xml:space="preserve"> combat</t>
    </r>
  </si>
  <si>
    <r>
      <t>C</t>
    </r>
    <r>
      <rPr>
        <vertAlign val="subscript"/>
        <sz val="10"/>
        <rFont val="Calibri"/>
        <family val="2"/>
        <scheme val="minor"/>
      </rPr>
      <t>Do</t>
    </r>
    <r>
      <rPr>
        <sz val="10"/>
        <rFont val="Calibri"/>
        <family val="2"/>
        <scheme val="minor"/>
      </rPr>
      <t xml:space="preserve"> assumed (subsonic)</t>
    </r>
  </si>
  <si>
    <r>
      <t>C</t>
    </r>
    <r>
      <rPr>
        <vertAlign val="subscript"/>
        <sz val="10"/>
        <rFont val="Calibri"/>
        <family val="2"/>
        <scheme val="minor"/>
      </rPr>
      <t>Do</t>
    </r>
    <r>
      <rPr>
        <sz val="10"/>
        <rFont val="Calibri"/>
        <family val="2"/>
        <scheme val="minor"/>
      </rPr>
      <t xml:space="preserve"> assumed (supsonic)</t>
    </r>
  </si>
  <si>
    <t>Interfer-ence Factor</t>
  </si>
  <si>
    <t>_VEE5</t>
  </si>
  <si>
    <t>_VEE4</t>
  </si>
  <si>
    <t>_VEE3</t>
  </si>
  <si>
    <t>_VEE2</t>
  </si>
  <si>
    <t>_VEE1</t>
  </si>
  <si>
    <t>_QUE5</t>
  </si>
  <si>
    <t>_QUE4</t>
  </si>
  <si>
    <t>_QUE3</t>
  </si>
  <si>
    <t>_QUE2</t>
  </si>
  <si>
    <t>_QUE1</t>
  </si>
  <si>
    <t>Derived from Raymer =n 17.89</t>
  </si>
  <si>
    <r>
      <t>FAR 25.121 (at V</t>
    </r>
    <r>
      <rPr>
        <vertAlign val="subscript"/>
        <sz val="10"/>
        <rFont val="Calibri"/>
        <family val="2"/>
        <scheme val="minor"/>
      </rPr>
      <t>2</t>
    </r>
    <r>
      <rPr>
        <sz val="10"/>
        <rFont val="Calibri"/>
        <family val="2"/>
        <scheme val="minor"/>
      </rPr>
      <t>)</t>
    </r>
  </si>
  <si>
    <t>_GEE1</t>
  </si>
  <si>
    <t>_GEE2</t>
  </si>
  <si>
    <t>_GEE3</t>
  </si>
  <si>
    <t>_GEE4</t>
  </si>
  <si>
    <t>_GEE5</t>
  </si>
  <si>
    <t>WEITDIFF2</t>
  </si>
  <si>
    <t>Sheets</t>
  </si>
  <si>
    <t>Kf1 (see Roskam III =n 5.27)</t>
  </si>
  <si>
    <t>Kv (see Roskam III =n 5.21)</t>
  </si>
  <si>
    <t xml:space="preserve">Alt (ft) </t>
  </si>
  <si>
    <t>Assumed K</t>
  </si>
  <si>
    <r>
      <t>Assumed C</t>
    </r>
    <r>
      <rPr>
        <vertAlign val="subscript"/>
        <sz val="10"/>
        <rFont val="Calibri"/>
        <family val="2"/>
        <scheme val="minor"/>
      </rPr>
      <t>D0</t>
    </r>
  </si>
  <si>
    <t xml:space="preserve"> q [lb/ft²]</t>
  </si>
  <si>
    <t>Inst. turn rate</t>
  </si>
  <si>
    <t>Weight reduction factors for composites: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</si>
</sst>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0_)"/>
    <numFmt numFmtId="165" formatCode="0.00E+00_)"/>
    <numFmt numFmtId="166" formatCode="0.0_)"/>
    <numFmt numFmtId="167" formatCode="0.0000_)"/>
    <numFmt numFmtId="168" formatCode="0.0E+00_)"/>
    <numFmt numFmtId="169" formatCode="0_)"/>
    <numFmt numFmtId="170" formatCode="0.0"/>
    <numFmt numFmtId="171" formatCode="[$-17804]yyyy/m/d;@"/>
  </numFmts>
  <fonts count="14" x14ac:knownFonts="1">
    <font>
      <sz val="10"/>
      <name val="Courier"/>
    </font>
    <font>
      <sz val="8"/>
      <name val="Courier"/>
      <family val="3"/>
    </font>
    <font>
      <sz val="10"/>
      <name val="Calibri"/>
      <family val="2"/>
    </font>
    <font>
      <b/>
      <sz val="10"/>
      <name val="Calibri"/>
      <family val="2"/>
      <scheme val="minor"/>
    </font>
    <font>
      <sz val="10"/>
      <name val="Calibri"/>
      <family val="2"/>
      <scheme val="minor"/>
    </font>
    <font>
      <sz val="10"/>
      <color rgb="FFFF0000"/>
      <name val="Calibri"/>
      <family val="2"/>
      <scheme val="minor"/>
    </font>
    <font>
      <sz val="10"/>
      <color indexed="10"/>
      <name val="Calibri"/>
      <family val="2"/>
      <scheme val="minor"/>
    </font>
    <font>
      <vertAlign val="subscript"/>
      <sz val="10"/>
      <name val="Calibri"/>
      <family val="2"/>
      <scheme val="minor"/>
    </font>
    <font>
      <b/>
      <sz val="10"/>
      <color indexed="10"/>
      <name val="Calibri"/>
      <family val="2"/>
      <scheme val="minor"/>
    </font>
    <font>
      <sz val="8"/>
      <color indexed="81"/>
      <name val="Tahoma"/>
      <family val="2"/>
    </font>
    <font>
      <b/>
      <sz val="8"/>
      <color indexed="81"/>
      <name val="Tahoma"/>
      <family val="2"/>
    </font>
    <font>
      <vertAlign val="subscript"/>
      <sz val="10"/>
      <name val="Calibri"/>
      <family val="2"/>
    </font>
    <font>
      <sz val="9"/>
      <color indexed="81"/>
      <name val="Tahoma"/>
      <family val="2"/>
    </font>
    <font>
      <b/>
      <sz val="9"/>
      <color indexed="81"/>
      <name val="Tahoma"/>
      <family val="2"/>
    </font>
  </fonts>
  <fills count="2">
    <fill>
      <patternFill patternType="none"/>
    </fill>
    <fill>
      <patternFill patternType="gray125"/>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diagonal/>
    </border>
  </borders>
  <cellStyleXfs count="1">
    <xf numFmtId="0" fontId="0" fillId="0" borderId="0"/>
  </cellStyleXfs>
  <cellXfs count="198">
    <xf numFmtId="0" fontId="0" fillId="0" borderId="0" xfId="0"/>
    <xf numFmtId="0" fontId="0" fillId="0" borderId="0" xfId="0" applyBorder="1"/>
    <xf numFmtId="0" fontId="3" fillId="0" borderId="0" xfId="0" applyFont="1" applyAlignment="1" applyProtection="1">
      <alignment horizontal="left"/>
    </xf>
    <xf numFmtId="0" fontId="3" fillId="0" borderId="0" xfId="0" applyFont="1"/>
    <xf numFmtId="0" fontId="4" fillId="0" borderId="0" xfId="0" applyFont="1"/>
    <xf numFmtId="0" fontId="4" fillId="0" borderId="0" xfId="0" applyFont="1" applyAlignment="1" applyProtection="1">
      <alignment horizontal="left"/>
    </xf>
    <xf numFmtId="164" fontId="4" fillId="0" borderId="0" xfId="0" applyNumberFormat="1" applyFont="1" applyAlignment="1" applyProtection="1">
      <alignment horizontal="left"/>
    </xf>
    <xf numFmtId="165" fontId="4" fillId="0" borderId="0" xfId="0" applyNumberFormat="1" applyFont="1" applyProtection="1"/>
    <xf numFmtId="0" fontId="4" fillId="0" borderId="1" xfId="0" applyFont="1" applyBorder="1" applyAlignment="1" applyProtection="1">
      <alignment horizontal="left"/>
    </xf>
    <xf numFmtId="0" fontId="4" fillId="0" borderId="0" xfId="0" applyFont="1" applyProtection="1"/>
    <xf numFmtId="0" fontId="4" fillId="0" borderId="1" xfId="0" applyFont="1" applyBorder="1"/>
    <xf numFmtId="0" fontId="4" fillId="0" borderId="1" xfId="0" applyFont="1" applyBorder="1" applyProtection="1"/>
    <xf numFmtId="166" fontId="4" fillId="0" borderId="1" xfId="0" applyNumberFormat="1" applyFont="1" applyBorder="1" applyProtection="1"/>
    <xf numFmtId="164" fontId="4" fillId="0" borderId="1" xfId="0" applyNumberFormat="1" applyFont="1" applyBorder="1" applyProtection="1"/>
    <xf numFmtId="167" fontId="4" fillId="0" borderId="1" xfId="0" applyNumberFormat="1" applyFont="1" applyBorder="1" applyProtection="1"/>
    <xf numFmtId="168" fontId="4" fillId="0" borderId="1" xfId="0" applyNumberFormat="1" applyFont="1" applyBorder="1" applyProtection="1"/>
    <xf numFmtId="0" fontId="4" fillId="0" borderId="1" xfId="0" applyFont="1" applyBorder="1" applyAlignment="1" applyProtection="1">
      <alignment horizontal="center"/>
    </xf>
    <xf numFmtId="0" fontId="3" fillId="0" borderId="0" xfId="0" applyFont="1" applyAlignment="1" applyProtection="1">
      <alignment horizontal="center"/>
    </xf>
    <xf numFmtId="169" fontId="4" fillId="0" borderId="1" xfId="0" applyNumberFormat="1" applyFont="1" applyBorder="1" applyProtection="1"/>
    <xf numFmtId="0" fontId="4" fillId="0" borderId="0" xfId="0" applyFont="1" applyBorder="1" applyAlignment="1" applyProtection="1">
      <alignment horizontal="left"/>
    </xf>
    <xf numFmtId="0" fontId="4" fillId="0" borderId="0" xfId="0" applyFont="1" applyBorder="1" applyProtection="1"/>
    <xf numFmtId="0" fontId="4" fillId="0" borderId="2" xfId="0" applyFont="1" applyBorder="1" applyAlignment="1" applyProtection="1">
      <alignment horizontal="left"/>
    </xf>
    <xf numFmtId="0" fontId="4" fillId="0" borderId="3" xfId="0" applyFont="1" applyBorder="1" applyAlignment="1" applyProtection="1">
      <alignment horizontal="left"/>
    </xf>
    <xf numFmtId="0" fontId="4" fillId="0" borderId="5" xfId="0" applyFont="1" applyBorder="1" applyAlignment="1" applyProtection="1">
      <alignment horizontal="left"/>
    </xf>
    <xf numFmtId="0" fontId="4" fillId="0" borderId="5" xfId="0" applyFont="1" applyBorder="1" applyAlignment="1" applyProtection="1">
      <alignment horizontal="center"/>
    </xf>
    <xf numFmtId="0" fontId="4" fillId="0" borderId="0" xfId="0" applyFont="1" applyBorder="1"/>
    <xf numFmtId="0" fontId="4" fillId="0" borderId="6" xfId="0" applyFont="1" applyBorder="1" applyAlignment="1" applyProtection="1">
      <alignment horizontal="center"/>
    </xf>
    <xf numFmtId="0" fontId="4" fillId="0" borderId="6" xfId="0" applyFont="1" applyBorder="1"/>
    <xf numFmtId="0" fontId="4" fillId="0" borderId="4" xfId="0" applyFont="1" applyBorder="1"/>
    <xf numFmtId="0" fontId="4" fillId="0" borderId="7" xfId="0" applyFont="1" applyBorder="1" applyAlignment="1" applyProtection="1">
      <alignment horizontal="left"/>
    </xf>
    <xf numFmtId="0" fontId="4" fillId="0" borderId="7" xfId="0" applyFont="1" applyBorder="1" applyAlignment="1" applyProtection="1">
      <alignment horizontal="center"/>
    </xf>
    <xf numFmtId="0" fontId="4" fillId="0" borderId="0" xfId="0" applyFont="1" applyAlignment="1" applyProtection="1">
      <alignment horizontal="center"/>
    </xf>
    <xf numFmtId="0" fontId="4" fillId="0" borderId="6" xfId="0" applyFont="1" applyBorder="1" applyAlignment="1" applyProtection="1">
      <alignment horizontal="left"/>
    </xf>
    <xf numFmtId="166" fontId="4" fillId="0" borderId="1" xfId="0" applyNumberFormat="1" applyFont="1" applyBorder="1" applyAlignment="1" applyProtection="1">
      <alignment horizontal="left"/>
    </xf>
    <xf numFmtId="164" fontId="4" fillId="0" borderId="1" xfId="0" applyNumberFormat="1" applyFont="1" applyBorder="1" applyAlignment="1" applyProtection="1">
      <alignment horizontal="left"/>
    </xf>
    <xf numFmtId="169" fontId="4" fillId="0" borderId="0" xfId="0" applyNumberFormat="1" applyFont="1" applyProtection="1"/>
    <xf numFmtId="0" fontId="5" fillId="0" borderId="1" xfId="0" applyFont="1" applyBorder="1" applyProtection="1"/>
    <xf numFmtId="0" fontId="5" fillId="0" borderId="1" xfId="0" applyFont="1" applyBorder="1"/>
    <xf numFmtId="167" fontId="5" fillId="0" borderId="1" xfId="0" applyNumberFormat="1" applyFont="1" applyBorder="1" applyProtection="1"/>
    <xf numFmtId="169" fontId="4" fillId="0" borderId="0" xfId="0" applyNumberFormat="1" applyFont="1" applyBorder="1" applyProtection="1"/>
    <xf numFmtId="0" fontId="3" fillId="0" borderId="1" xfId="0" applyFont="1" applyBorder="1"/>
    <xf numFmtId="0" fontId="3" fillId="0" borderId="10" xfId="0" applyFont="1" applyBorder="1"/>
    <xf numFmtId="0" fontId="3" fillId="0" borderId="11" xfId="0" applyFont="1" applyBorder="1"/>
    <xf numFmtId="169" fontId="3" fillId="0" borderId="12" xfId="0" applyNumberFormat="1" applyFont="1" applyBorder="1" applyAlignment="1" applyProtection="1">
      <alignment horizontal="center"/>
    </xf>
    <xf numFmtId="167" fontId="4" fillId="0" borderId="0" xfId="0" applyNumberFormat="1" applyFont="1" applyProtection="1"/>
    <xf numFmtId="0" fontId="4" fillId="0" borderId="1" xfId="0" applyFont="1" applyBorder="1" applyAlignment="1">
      <alignment horizontal="left"/>
    </xf>
    <xf numFmtId="0" fontId="4" fillId="0" borderId="1" xfId="0" applyFont="1" applyBorder="1" applyAlignment="1">
      <alignment horizontal="left"/>
    </xf>
    <xf numFmtId="0" fontId="4" fillId="0" borderId="1" xfId="0" applyFont="1" applyBorder="1" applyAlignment="1" applyProtection="1"/>
    <xf numFmtId="0" fontId="4" fillId="0" borderId="1" xfId="0" applyFont="1" applyBorder="1" applyAlignment="1"/>
    <xf numFmtId="0" fontId="4" fillId="0" borderId="13" xfId="0" applyFont="1" applyBorder="1" applyAlignment="1" applyProtection="1"/>
    <xf numFmtId="0" fontId="4" fillId="0" borderId="9" xfId="0" applyFont="1" applyBorder="1" applyAlignment="1" applyProtection="1"/>
    <xf numFmtId="0" fontId="4" fillId="0" borderId="13" xfId="0" applyFont="1" applyBorder="1" applyAlignment="1" applyProtection="1">
      <alignment horizontal="left"/>
    </xf>
    <xf numFmtId="0" fontId="4" fillId="0" borderId="9" xfId="0" applyFont="1" applyBorder="1" applyAlignment="1" applyProtection="1">
      <alignment horizontal="left"/>
    </xf>
    <xf numFmtId="0" fontId="4" fillId="0" borderId="1" xfId="0" applyFont="1" applyBorder="1" applyAlignment="1">
      <alignment horizontal="left"/>
    </xf>
    <xf numFmtId="171" fontId="3" fillId="0" borderId="0" xfId="0" applyNumberFormat="1" applyFont="1" applyAlignment="1" applyProtection="1">
      <alignment horizontal="left"/>
    </xf>
    <xf numFmtId="0" fontId="4" fillId="0" borderId="15" xfId="0" applyFont="1" applyBorder="1" applyAlignment="1" applyProtection="1">
      <alignment horizontal="left"/>
    </xf>
    <xf numFmtId="0" fontId="4" fillId="0" borderId="16" xfId="0" applyFont="1" applyBorder="1" applyAlignment="1" applyProtection="1">
      <alignment horizontal="left"/>
    </xf>
    <xf numFmtId="1" fontId="8" fillId="0" borderId="17" xfId="0" applyNumberFormat="1" applyFont="1" applyBorder="1" applyProtection="1"/>
    <xf numFmtId="0" fontId="4" fillId="0" borderId="18" xfId="0" applyFont="1" applyBorder="1" applyAlignment="1" applyProtection="1">
      <alignment horizontal="left"/>
    </xf>
    <xf numFmtId="0" fontId="6" fillId="0" borderId="19" xfId="0" applyFont="1" applyBorder="1" applyProtection="1"/>
    <xf numFmtId="0" fontId="6" fillId="0" borderId="19" xfId="0" applyFont="1" applyBorder="1"/>
    <xf numFmtId="0" fontId="4" fillId="0" borderId="20" xfId="0" applyFont="1" applyBorder="1" applyAlignment="1" applyProtection="1">
      <alignment horizontal="left"/>
    </xf>
    <xf numFmtId="0" fontId="4" fillId="0" borderId="21" xfId="0" applyFont="1" applyBorder="1" applyAlignment="1" applyProtection="1">
      <alignment horizontal="left"/>
    </xf>
    <xf numFmtId="0" fontId="6" fillId="0" borderId="22" xfId="0" applyFont="1" applyBorder="1" applyProtection="1"/>
    <xf numFmtId="0" fontId="5" fillId="0" borderId="17" xfId="0" applyFont="1" applyBorder="1" applyProtection="1"/>
    <xf numFmtId="0" fontId="5" fillId="0" borderId="19" xfId="0" applyFont="1" applyBorder="1" applyProtection="1"/>
    <xf numFmtId="0" fontId="5" fillId="0" borderId="19" xfId="0" applyFont="1" applyBorder="1"/>
    <xf numFmtId="0" fontId="5" fillId="0" borderId="22" xfId="0" applyFont="1" applyBorder="1" applyAlignment="1" applyProtection="1">
      <alignment horizontal="left"/>
    </xf>
    <xf numFmtId="0" fontId="4" fillId="0" borderId="23" xfId="0" applyFont="1" applyBorder="1" applyAlignment="1" applyProtection="1"/>
    <xf numFmtId="0" fontId="4" fillId="0" borderId="24" xfId="0" applyFont="1" applyBorder="1" applyAlignment="1" applyProtection="1"/>
    <xf numFmtId="0" fontId="4" fillId="0" borderId="25" xfId="0" applyFont="1" applyBorder="1" applyAlignment="1" applyProtection="1"/>
    <xf numFmtId="0" fontId="5" fillId="0" borderId="19" xfId="0" applyFont="1" applyBorder="1" applyAlignment="1" applyProtection="1">
      <alignment horizontal="left"/>
    </xf>
    <xf numFmtId="0" fontId="4" fillId="0" borderId="26" xfId="0" applyFont="1" applyBorder="1" applyAlignment="1" applyProtection="1">
      <alignment horizontal="left"/>
    </xf>
    <xf numFmtId="0" fontId="5" fillId="0" borderId="22" xfId="0" applyFont="1" applyBorder="1" applyProtection="1"/>
    <xf numFmtId="0" fontId="4" fillId="0" borderId="30" xfId="0" applyFont="1" applyBorder="1" applyAlignment="1"/>
    <xf numFmtId="0" fontId="4" fillId="0" borderId="25" xfId="0" applyFont="1" applyBorder="1" applyAlignment="1"/>
    <xf numFmtId="0" fontId="4" fillId="0" borderId="27" xfId="0" applyFont="1" applyBorder="1" applyAlignment="1" applyProtection="1"/>
    <xf numFmtId="0" fontId="4" fillId="0" borderId="28" xfId="0" applyFont="1" applyBorder="1" applyAlignment="1" applyProtection="1"/>
    <xf numFmtId="0" fontId="4" fillId="0" borderId="29" xfId="0" applyFont="1" applyBorder="1" applyAlignment="1" applyProtection="1"/>
    <xf numFmtId="0" fontId="4" fillId="0" borderId="21" xfId="0" applyFont="1" applyBorder="1"/>
    <xf numFmtId="0" fontId="5" fillId="0" borderId="22" xfId="0" applyFont="1" applyBorder="1"/>
    <xf numFmtId="0" fontId="4" fillId="0" borderId="21" xfId="0" applyFont="1" applyBorder="1" applyAlignment="1">
      <alignment horizontal="left"/>
    </xf>
    <xf numFmtId="0" fontId="4" fillId="0" borderId="26" xfId="0" applyFont="1" applyBorder="1" applyAlignment="1" applyProtection="1"/>
    <xf numFmtId="164" fontId="4" fillId="0" borderId="17" xfId="0" applyNumberFormat="1" applyFont="1" applyBorder="1" applyProtection="1"/>
    <xf numFmtId="164" fontId="4" fillId="0" borderId="19" xfId="0" applyNumberFormat="1" applyFont="1" applyBorder="1" applyProtection="1"/>
    <xf numFmtId="0" fontId="4" fillId="0" borderId="22" xfId="0" applyFont="1" applyBorder="1" applyProtection="1"/>
    <xf numFmtId="0" fontId="4" fillId="0" borderId="19" xfId="0" applyFont="1" applyBorder="1"/>
    <xf numFmtId="0" fontId="4" fillId="0" borderId="16" xfId="0" applyFont="1" applyBorder="1" applyAlignment="1">
      <alignment horizontal="left"/>
    </xf>
    <xf numFmtId="0" fontId="4" fillId="0" borderId="17" xfId="0" applyFont="1" applyBorder="1" applyProtection="1"/>
    <xf numFmtId="0" fontId="4" fillId="0" borderId="19" xfId="0" applyFont="1" applyBorder="1" applyProtection="1"/>
    <xf numFmtId="0" fontId="4" fillId="0" borderId="22" xfId="0" applyFont="1" applyBorder="1"/>
    <xf numFmtId="0" fontId="3" fillId="0" borderId="15" xfId="0" applyFont="1" applyBorder="1" applyAlignment="1" applyProtection="1">
      <alignment horizontal="left"/>
    </xf>
    <xf numFmtId="0" fontId="4" fillId="0" borderId="16" xfId="0" applyFont="1" applyBorder="1"/>
    <xf numFmtId="0" fontId="4" fillId="0" borderId="17" xfId="0" applyFont="1" applyBorder="1"/>
    <xf numFmtId="0" fontId="3" fillId="0" borderId="18" xfId="0" applyFont="1" applyBorder="1" applyAlignment="1" applyProtection="1">
      <alignment horizontal="left"/>
    </xf>
    <xf numFmtId="0" fontId="4" fillId="0" borderId="18" xfId="0" applyFont="1" applyBorder="1"/>
    <xf numFmtId="0" fontId="3" fillId="0" borderId="20" xfId="0" applyFont="1" applyBorder="1" applyAlignment="1" applyProtection="1">
      <alignment horizontal="left"/>
    </xf>
    <xf numFmtId="0" fontId="4" fillId="0" borderId="7" xfId="0" applyFont="1" applyBorder="1" applyProtection="1"/>
    <xf numFmtId="0" fontId="4" fillId="0" borderId="16" xfId="0" applyFont="1" applyBorder="1" applyAlignment="1" applyProtection="1">
      <alignment horizontal="center"/>
    </xf>
    <xf numFmtId="0" fontId="4" fillId="0" borderId="16" xfId="0" applyFont="1" applyBorder="1" applyAlignment="1" applyProtection="1">
      <alignment horizontal="center" wrapText="1"/>
    </xf>
    <xf numFmtId="0" fontId="4" fillId="0" borderId="17" xfId="0" applyFont="1" applyBorder="1" applyAlignment="1" applyProtection="1">
      <alignment horizontal="center"/>
    </xf>
    <xf numFmtId="167" fontId="4" fillId="0" borderId="19" xfId="0" applyNumberFormat="1" applyFont="1" applyBorder="1" applyProtection="1"/>
    <xf numFmtId="0" fontId="4" fillId="0" borderId="19" xfId="0" applyFont="1" applyBorder="1" applyAlignment="1" applyProtection="1">
      <alignment horizontal="left"/>
    </xf>
    <xf numFmtId="0" fontId="4" fillId="0" borderId="20" xfId="0" applyFont="1" applyBorder="1"/>
    <xf numFmtId="167" fontId="4" fillId="0" borderId="22" xfId="0" applyNumberFormat="1" applyFont="1" applyBorder="1" applyProtection="1"/>
    <xf numFmtId="0" fontId="4" fillId="0" borderId="16" xfId="0" applyFont="1" applyBorder="1" applyProtection="1"/>
    <xf numFmtId="0" fontId="4" fillId="0" borderId="21" xfId="0" applyFont="1" applyBorder="1" applyProtection="1"/>
    <xf numFmtId="0" fontId="4" fillId="0" borderId="31" xfId="0" applyFont="1" applyBorder="1" applyProtection="1"/>
    <xf numFmtId="0" fontId="4" fillId="0" borderId="18" xfId="0" applyFont="1" applyBorder="1" applyProtection="1"/>
    <xf numFmtId="0" fontId="3" fillId="0" borderId="23" xfId="0" applyFont="1" applyBorder="1" applyAlignment="1" applyProtection="1">
      <alignment horizontal="left"/>
    </xf>
    <xf numFmtId="0" fontId="4" fillId="0" borderId="25" xfId="0" applyFont="1" applyBorder="1" applyAlignment="1" applyProtection="1">
      <alignment horizontal="center"/>
    </xf>
    <xf numFmtId="0" fontId="4" fillId="0" borderId="17" xfId="0" applyFont="1" applyBorder="1" applyAlignment="1" applyProtection="1">
      <alignment horizontal="left"/>
    </xf>
    <xf numFmtId="0" fontId="5" fillId="0" borderId="0" xfId="0" applyFont="1" applyBorder="1" applyProtection="1"/>
    <xf numFmtId="164" fontId="4" fillId="0" borderId="0" xfId="0" applyNumberFormat="1" applyFont="1" applyBorder="1" applyProtection="1"/>
    <xf numFmtId="167" fontId="4" fillId="0" borderId="0" xfId="0" applyNumberFormat="1" applyFont="1" applyBorder="1" applyProtection="1"/>
    <xf numFmtId="166" fontId="4" fillId="0" borderId="0" xfId="0" applyNumberFormat="1" applyFont="1" applyBorder="1" applyProtection="1"/>
    <xf numFmtId="0" fontId="4" fillId="0" borderId="32" xfId="0" applyFont="1" applyBorder="1" applyAlignment="1" applyProtection="1">
      <alignment horizontal="left"/>
    </xf>
    <xf numFmtId="0" fontId="4" fillId="0" borderId="33" xfId="0" applyFont="1" applyBorder="1" applyAlignment="1" applyProtection="1">
      <alignment horizontal="left"/>
    </xf>
    <xf numFmtId="0" fontId="4" fillId="0" borderId="33" xfId="0" applyFont="1" applyBorder="1"/>
    <xf numFmtId="0" fontId="4" fillId="0" borderId="34" xfId="0" applyFont="1" applyBorder="1"/>
    <xf numFmtId="0" fontId="4" fillId="0" borderId="34" xfId="0" applyFont="1" applyBorder="1" applyAlignment="1" applyProtection="1">
      <alignment horizontal="left"/>
    </xf>
    <xf numFmtId="0" fontId="4" fillId="0" borderId="36" xfId="0" applyFont="1" applyBorder="1"/>
    <xf numFmtId="0" fontId="3" fillId="0" borderId="38" xfId="0" applyFont="1" applyBorder="1" applyAlignment="1" applyProtection="1">
      <alignment horizontal="left"/>
    </xf>
    <xf numFmtId="0" fontId="5" fillId="0" borderId="21" xfId="0" applyFont="1" applyBorder="1" applyProtection="1"/>
    <xf numFmtId="164" fontId="4" fillId="0" borderId="21" xfId="0" applyNumberFormat="1" applyFont="1" applyBorder="1" applyProtection="1"/>
    <xf numFmtId="167" fontId="4" fillId="0" borderId="21" xfId="0" applyNumberFormat="1" applyFont="1" applyBorder="1" applyProtection="1"/>
    <xf numFmtId="166" fontId="4" fillId="0" borderId="21" xfId="0" applyNumberFormat="1" applyFont="1" applyBorder="1" applyProtection="1"/>
    <xf numFmtId="164" fontId="4" fillId="0" borderId="22" xfId="0" applyNumberFormat="1" applyFont="1" applyBorder="1" applyProtection="1"/>
    <xf numFmtId="167" fontId="5" fillId="0" borderId="19" xfId="0" applyNumberFormat="1" applyFont="1" applyBorder="1" applyProtection="1"/>
    <xf numFmtId="166" fontId="4" fillId="0" borderId="16" xfId="0" applyNumberFormat="1" applyFont="1" applyBorder="1" applyProtection="1"/>
    <xf numFmtId="164" fontId="4" fillId="0" borderId="16" xfId="0" applyNumberFormat="1" applyFont="1" applyBorder="1" applyProtection="1"/>
    <xf numFmtId="165" fontId="4" fillId="0" borderId="17" xfId="0" applyNumberFormat="1" applyFont="1" applyBorder="1" applyProtection="1"/>
    <xf numFmtId="165" fontId="4" fillId="0" borderId="19" xfId="0" applyNumberFormat="1" applyFont="1" applyBorder="1" applyProtection="1"/>
    <xf numFmtId="166" fontId="4" fillId="0" borderId="21" xfId="0" applyNumberFormat="1" applyFont="1" applyBorder="1" applyAlignment="1" applyProtection="1">
      <alignment horizontal="left"/>
    </xf>
    <xf numFmtId="0" fontId="4" fillId="0" borderId="40" xfId="0" applyFont="1" applyBorder="1" applyAlignment="1" applyProtection="1">
      <alignment horizontal="center"/>
    </xf>
    <xf numFmtId="0" fontId="4" fillId="0" borderId="35" xfId="0" applyFont="1" applyBorder="1" applyAlignment="1" applyProtection="1">
      <alignment horizontal="left"/>
    </xf>
    <xf numFmtId="0" fontId="4" fillId="0" borderId="41" xfId="0" applyFont="1" applyBorder="1" applyAlignment="1" applyProtection="1">
      <alignment horizontal="center"/>
    </xf>
    <xf numFmtId="0" fontId="4" fillId="0" borderId="37" xfId="0" applyFont="1" applyBorder="1" applyAlignment="1" applyProtection="1">
      <alignment horizontal="left"/>
    </xf>
    <xf numFmtId="0" fontId="4" fillId="0" borderId="42" xfId="0" applyFont="1" applyBorder="1" applyAlignment="1" applyProtection="1">
      <alignment horizontal="center"/>
    </xf>
    <xf numFmtId="0" fontId="4" fillId="0" borderId="43" xfId="0" applyFont="1" applyBorder="1" applyAlignment="1" applyProtection="1">
      <alignment horizontal="center"/>
    </xf>
    <xf numFmtId="0" fontId="4" fillId="0" borderId="43" xfId="0" applyFont="1" applyBorder="1" applyAlignment="1" applyProtection="1">
      <alignment horizontal="left"/>
    </xf>
    <xf numFmtId="0" fontId="4" fillId="0" borderId="44" xfId="0" applyFont="1" applyBorder="1" applyAlignment="1" applyProtection="1">
      <alignment horizontal="left"/>
    </xf>
    <xf numFmtId="0" fontId="4" fillId="0" borderId="19" xfId="0" applyFont="1" applyBorder="1" applyAlignment="1"/>
    <xf numFmtId="0" fontId="0" fillId="0" borderId="18" xfId="0" applyBorder="1"/>
    <xf numFmtId="0" fontId="4" fillId="0" borderId="14" xfId="0" applyFont="1" applyBorder="1" applyAlignment="1" applyProtection="1">
      <alignment horizontal="left"/>
    </xf>
    <xf numFmtId="169" fontId="4" fillId="0" borderId="19" xfId="0" applyNumberFormat="1" applyFont="1" applyBorder="1" applyProtection="1"/>
    <xf numFmtId="1" fontId="4" fillId="0" borderId="17" xfId="0" applyNumberFormat="1" applyFont="1" applyBorder="1" applyProtection="1"/>
    <xf numFmtId="1" fontId="4" fillId="0" borderId="19" xfId="0" applyNumberFormat="1" applyFont="1" applyBorder="1" applyProtection="1"/>
    <xf numFmtId="170" fontId="4" fillId="0" borderId="19" xfId="0" applyNumberFormat="1" applyFont="1" applyBorder="1" applyProtection="1"/>
    <xf numFmtId="2" fontId="4" fillId="0" borderId="19" xfId="0" applyNumberFormat="1" applyFont="1" applyBorder="1" applyProtection="1"/>
    <xf numFmtId="170" fontId="4" fillId="0" borderId="22" xfId="0" applyNumberFormat="1" applyFont="1" applyBorder="1" applyProtection="1"/>
    <xf numFmtId="0" fontId="4" fillId="0" borderId="51" xfId="0" applyFont="1" applyBorder="1" applyAlignment="1" applyProtection="1">
      <alignment horizontal="center"/>
    </xf>
    <xf numFmtId="169" fontId="4" fillId="0" borderId="22" xfId="0" applyNumberFormat="1" applyFont="1" applyBorder="1" applyProtection="1"/>
    <xf numFmtId="0" fontId="4" fillId="0" borderId="15" xfId="0" applyFont="1" applyBorder="1"/>
    <xf numFmtId="169" fontId="4" fillId="0" borderId="21" xfId="0" applyNumberFormat="1" applyFont="1" applyBorder="1" applyProtection="1"/>
    <xf numFmtId="169" fontId="4" fillId="0" borderId="17" xfId="0" applyNumberFormat="1" applyFont="1" applyBorder="1" applyProtection="1"/>
    <xf numFmtId="0" fontId="5" fillId="0" borderId="16" xfId="0" applyFont="1" applyBorder="1" applyProtection="1"/>
    <xf numFmtId="0" fontId="5" fillId="0" borderId="17" xfId="0" applyFont="1" applyBorder="1" applyAlignment="1" applyProtection="1">
      <alignment horizontal="left"/>
    </xf>
    <xf numFmtId="1" fontId="4" fillId="0" borderId="22" xfId="0" applyNumberFormat="1" applyFont="1" applyBorder="1" applyProtection="1"/>
    <xf numFmtId="169" fontId="3" fillId="0" borderId="22" xfId="0" applyNumberFormat="1" applyFont="1" applyBorder="1" applyProtection="1"/>
    <xf numFmtId="0" fontId="4" fillId="0" borderId="47" xfId="0" applyFont="1" applyBorder="1" applyAlignment="1" applyProtection="1"/>
    <xf numFmtId="0" fontId="4" fillId="0" borderId="28" xfId="0" applyFont="1" applyBorder="1" applyAlignment="1" applyProtection="1"/>
    <xf numFmtId="0" fontId="4" fillId="0" borderId="48" xfId="0" applyFont="1" applyBorder="1" applyAlignment="1" applyProtection="1"/>
    <xf numFmtId="0" fontId="4" fillId="0" borderId="30" xfId="0" applyFont="1" applyBorder="1" applyAlignment="1" applyProtection="1">
      <alignment horizontal="center"/>
    </xf>
    <xf numFmtId="0" fontId="4" fillId="0" borderId="24" xfId="0" applyFont="1" applyBorder="1" applyAlignment="1" applyProtection="1">
      <alignment horizontal="center"/>
    </xf>
    <xf numFmtId="0" fontId="4" fillId="0" borderId="45" xfId="0" applyFont="1" applyBorder="1" applyAlignment="1" applyProtection="1">
      <alignment horizontal="center"/>
    </xf>
    <xf numFmtId="0" fontId="0" fillId="0" borderId="8" xfId="0" applyBorder="1" applyAlignment="1"/>
    <xf numFmtId="0" fontId="0" fillId="0" borderId="13" xfId="0" applyBorder="1" applyAlignment="1"/>
    <xf numFmtId="0" fontId="0" fillId="0" borderId="46" xfId="0" applyBorder="1" applyAlignment="1"/>
    <xf numFmtId="0" fontId="4" fillId="0" borderId="8" xfId="0" applyFont="1" applyBorder="1" applyAlignment="1" applyProtection="1"/>
    <xf numFmtId="0" fontId="4" fillId="0" borderId="13" xfId="0" applyFont="1" applyBorder="1" applyAlignment="1" applyProtection="1"/>
    <xf numFmtId="0" fontId="4" fillId="0" borderId="46" xfId="0" applyFont="1" applyBorder="1" applyAlignment="1" applyProtection="1"/>
    <xf numFmtId="0" fontId="4" fillId="0" borderId="9" xfId="0" applyFont="1" applyBorder="1" applyAlignment="1" applyProtection="1"/>
    <xf numFmtId="0" fontId="4" fillId="0" borderId="8" xfId="0" applyFont="1" applyBorder="1" applyAlignment="1" applyProtection="1">
      <alignment horizontal="left"/>
    </xf>
    <xf numFmtId="0" fontId="4" fillId="0" borderId="13" xfId="0" applyFont="1" applyBorder="1" applyAlignment="1" applyProtection="1">
      <alignment horizontal="left"/>
    </xf>
    <xf numFmtId="0" fontId="4" fillId="0" borderId="9" xfId="0" applyFont="1" applyBorder="1" applyAlignment="1" applyProtection="1">
      <alignment horizontal="left"/>
    </xf>
    <xf numFmtId="0" fontId="4" fillId="0" borderId="26" xfId="0" applyFont="1" applyBorder="1" applyAlignment="1" applyProtection="1">
      <alignment horizontal="left"/>
    </xf>
    <xf numFmtId="0" fontId="4" fillId="0" borderId="27" xfId="0" applyFont="1" applyBorder="1" applyAlignment="1" applyProtection="1">
      <alignment horizontal="left"/>
    </xf>
    <xf numFmtId="0" fontId="4" fillId="0" borderId="28" xfId="0" applyFont="1" applyBorder="1" applyAlignment="1" applyProtection="1">
      <alignment horizontal="left"/>
    </xf>
    <xf numFmtId="0" fontId="4" fillId="0" borderId="29" xfId="0" applyFont="1" applyBorder="1" applyAlignment="1" applyProtection="1">
      <alignment horizontal="left"/>
    </xf>
    <xf numFmtId="0" fontId="4" fillId="0" borderId="23" xfId="0" applyFont="1" applyBorder="1" applyAlignment="1" applyProtection="1">
      <alignment horizontal="left"/>
    </xf>
    <xf numFmtId="0" fontId="4" fillId="0" borderId="24" xfId="0" applyFont="1" applyBorder="1" applyAlignment="1" applyProtection="1">
      <alignment horizontal="left"/>
    </xf>
    <xf numFmtId="0" fontId="4" fillId="0" borderId="25" xfId="0" applyFont="1" applyBorder="1" applyAlignment="1" applyProtection="1">
      <alignment horizontal="left"/>
    </xf>
    <xf numFmtId="0" fontId="4" fillId="0" borderId="1" xfId="0" applyFont="1" applyBorder="1" applyAlignment="1">
      <alignment horizontal="left"/>
    </xf>
    <xf numFmtId="0" fontId="4" fillId="0" borderId="8" xfId="0" applyFont="1" applyBorder="1" applyAlignment="1">
      <alignment horizontal="left"/>
    </xf>
    <xf numFmtId="0" fontId="4" fillId="0" borderId="13" xfId="0" applyFont="1" applyBorder="1" applyAlignment="1">
      <alignment horizontal="left"/>
    </xf>
    <xf numFmtId="0" fontId="4" fillId="0" borderId="9" xfId="0" applyFont="1" applyBorder="1" applyAlignment="1">
      <alignment horizontal="left"/>
    </xf>
    <xf numFmtId="0" fontId="4" fillId="0" borderId="35" xfId="0" applyFont="1" applyBorder="1" applyAlignment="1" applyProtection="1">
      <alignment horizontal="center"/>
    </xf>
    <xf numFmtId="0" fontId="4" fillId="0" borderId="37" xfId="0" applyFont="1" applyBorder="1" applyAlignment="1" applyProtection="1">
      <alignment horizontal="center"/>
    </xf>
    <xf numFmtId="0" fontId="4" fillId="0" borderId="39" xfId="0" applyFont="1" applyBorder="1" applyAlignment="1" applyProtection="1">
      <alignment horizontal="center"/>
    </xf>
    <xf numFmtId="0" fontId="4" fillId="0" borderId="49" xfId="0" applyFont="1" applyBorder="1" applyAlignment="1" applyProtection="1">
      <alignment horizontal="center" wrapText="1"/>
    </xf>
    <xf numFmtId="0" fontId="4" fillId="0" borderId="50" xfId="0" applyFont="1" applyBorder="1" applyAlignment="1" applyProtection="1">
      <alignment horizontal="center" wrapText="1"/>
    </xf>
    <xf numFmtId="0" fontId="4" fillId="0" borderId="34" xfId="0" applyFont="1" applyBorder="1" applyAlignment="1" applyProtection="1">
      <alignment horizontal="center"/>
    </xf>
    <xf numFmtId="0" fontId="4" fillId="0" borderId="6" xfId="0" applyFont="1" applyBorder="1" applyAlignment="1" applyProtection="1">
      <alignment horizontal="center"/>
    </xf>
    <xf numFmtId="0" fontId="4" fillId="0" borderId="7" xfId="0" applyFont="1" applyBorder="1" applyAlignment="1" applyProtection="1">
      <alignment horizontal="center"/>
    </xf>
    <xf numFmtId="0" fontId="4" fillId="0" borderId="34" xfId="0" applyFont="1" applyBorder="1" applyAlignment="1" applyProtection="1">
      <alignment horizontal="center" wrapText="1"/>
    </xf>
    <xf numFmtId="0" fontId="4" fillId="0" borderId="6" xfId="0" applyFont="1" applyBorder="1" applyAlignment="1" applyProtection="1">
      <alignment horizontal="center" wrapText="1"/>
    </xf>
    <xf numFmtId="0" fontId="4" fillId="0" borderId="7" xfId="0" applyFont="1" applyBorder="1" applyAlignment="1" applyProtection="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hartsheet" Target="chartsheets/sheet5.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hartsheet" Target="chartsheets/sheet4.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3.xml"/><Relationship Id="rId5" Type="http://schemas.openxmlformats.org/officeDocument/2006/relationships/worksheet" Target="worksheets/sheet5.xml"/><Relationship Id="rId15" Type="http://schemas.openxmlformats.org/officeDocument/2006/relationships/chartsheet" Target="chartsheets/sheet7.xml"/><Relationship Id="rId10" Type="http://schemas.openxmlformats.org/officeDocument/2006/relationships/chartsheet" Target="chartsheets/sheet2.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chartsheet" Target="chartsheets/sheet1.xml"/><Relationship Id="rId14" Type="http://schemas.openxmlformats.org/officeDocument/2006/relationships/chartsheet" Target="chartsheets/sheet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n-US"/>
              <a:t>THRUST/WEIGHT VERSUS WING LOADING
MILITARY REQUIREMENTS</a:t>
            </a:r>
          </a:p>
        </c:rich>
      </c:tx>
      <c:layout>
        <c:manualLayout>
          <c:xMode val="edge"/>
          <c:yMode val="edge"/>
          <c:x val="0.35183129855715872"/>
          <c:y val="1.9575856443719418E-2"/>
        </c:manualLayout>
      </c:layout>
      <c:overlay val="0"/>
      <c:spPr>
        <a:noFill/>
        <a:ln w="25400">
          <a:noFill/>
        </a:ln>
      </c:spPr>
    </c:title>
    <c:autoTitleDeleted val="0"/>
    <c:plotArea>
      <c:layout>
        <c:manualLayout>
          <c:layoutTarget val="inner"/>
          <c:xMode val="edge"/>
          <c:yMode val="edge"/>
          <c:x val="7.1032186459489471E-2"/>
          <c:y val="0.14029363784665586"/>
          <c:w val="0.90455049944506083"/>
          <c:h val="0.75367047308319801"/>
        </c:manualLayout>
      </c:layout>
      <c:scatterChart>
        <c:scatterStyle val="lineMarker"/>
        <c:varyColors val="0"/>
        <c:ser>
          <c:idx val="0"/>
          <c:order val="0"/>
          <c:spPr>
            <a:ln w="12700">
              <a:solidFill>
                <a:srgbClr val="0000FF"/>
              </a:solidFill>
              <a:prstDash val="solid"/>
            </a:ln>
          </c:spPr>
          <c:marker>
            <c:symbol val="none"/>
          </c:marker>
          <c:dLbls>
            <c:dLbl>
              <c:idx val="0"/>
              <c:tx>
                <c:strRef>
                  <c:f>Performance!$A$78</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{0080CB3E-61D0-4874-B3BA-B2E0A64B1BAE}</c15:txfldGUID>
                      <c15:f>Performance!$A$78</c15:f>
                      <c15:dlblFieldTableCache>
                        <c:ptCount val="1"/>
                      </c15:dlblFieldTableCache>
                    </c15:dlblFTEntry>
                  </c15:dlblFieldTable>
                  <c15:showDataLabelsRange val="0"/>
                </c:ext>
              </c:extLst>
            </c:dLbl>
            <c:dLbl>
              <c:idx val="1"/>
              <c:tx>
                <c:strRef>
                  <c:f>Performance!$B$78</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{B994E891-A1F3-4FDD-BFEE-77C70ED59F17}</c15:txfldGUID>
                      <c15:f>Performance!$B$78</c15:f>
                      <c15:dlblFieldTableCache>
                        <c:ptCount val="1"/>
                      </c15:dlblFieldTableCache>
                    </c15:dlblFTEntry>
                  </c15:dlblFieldTable>
                  <c15:showDataLabelsRange val="0"/>
                </c:ext>
              </c:extLst>
            </c:dLbl>
            <c:dLbl>
              <c:idx val="2"/>
              <c:tx>
                <c:strRef>
                  <c:f>Performance!$C$78</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{31A3BCCC-FDBE-4E44-ABC3-1DA00F06B955}</c15:txfldGUID>
                      <c15:f>Performance!$C$78</c15:f>
                      <c15:dlblFieldTableCache>
                        <c:ptCount val="1"/>
                      </c15:dlblFieldTableCache>
                    </c15:dlblFTEntry>
                  </c15:dlblFieldTable>
                  <c15:showDataLabelsRange val="0"/>
                </c:ext>
              </c:extLst>
            </c:dLbl>
            <c:dLbl>
              <c:idx val="3"/>
              <c:tx>
                <c:strRef>
                  <c:f>Performance!$D$78</c:f>
                  <c:strCache>
                    <c:ptCount val="1"/>
                    <c:pt idx="0">
                      <c:v>Takeoff (Nicolai =n 6-3)</c:v>
                    </c:pt>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{FC0758FD-A7B3-4A0E-918A-117970D23086}</c15:txfldGUID>
                      <c15:f>Performance!$D$78</c15:f>
                      <c15:dlblFieldTableCache>
                        <c:ptCount val="1"/>
                        <c:pt idx="0">
                          <c:v>Takeoff (Nicolai =n 6-3)</c:v>
                        </c:pt>
                      </c15:dlblFieldTableCache>
                    </c15:dlblFTEntry>
                  </c15:dlblFieldTable>
                  <c15:showDataLabelsRange val="0"/>
                </c:ext>
              </c:extLst>
            </c:dLbl>
            <c:spPr>
              <a:noFill/>
              <a:ln>
                <a:noFill/>
              </a:ln>
              <a:effectLst/>
            </c:spPr>
            <c:dLblPos val="t"/>
            <c:showLegendKey val="0"/>
            <c:showVal val="0"/>
            <c:showCatName val="0"/>
            <c:showSerName val="0"/>
            <c:showPercent val="0"/>
            <c:showBubbleSize val="0"/>
            <c:extLst>
              <c:ext xmlns:c15="http://schemas.microsoft.com/office/drawing/2012/chart" uri="{CE6537A1-D6FC-4f65-9D91-7224C49458BB}">
                <c15:showLeaderLines val="0"/>
              </c:ext>
            </c:extLst>
          </c:dLbls>
          <c:xVal>
            <c:numRef>
              <c:f>Performance!$C$48:$AB$48</c:f>
              <c:numCache>
                <c:formatCode>General</c:formatCode>
                <c:ptCount val="26"/>
                <c:pt idx="0">
                  <c:v>15</c:v>
                </c:pt>
                <c:pt idx="1">
                  <c:v>20</c:v>
                </c:pt>
                <c:pt idx="2">
                  <c:v>25</c:v>
                </c:pt>
                <c:pt idx="3">
                  <c:v>30</c:v>
                </c:pt>
                <c:pt idx="4">
                  <c:v>35</c:v>
                </c:pt>
                <c:pt idx="5">
                  <c:v>40</c:v>
                </c:pt>
                <c:pt idx="6">
                  <c:v>45</c:v>
                </c:pt>
                <c:pt idx="7">
                  <c:v>50</c:v>
                </c:pt>
                <c:pt idx="8">
                  <c:v>55</c:v>
                </c:pt>
                <c:pt idx="9">
                  <c:v>60</c:v>
                </c:pt>
                <c:pt idx="10">
                  <c:v>65</c:v>
                </c:pt>
                <c:pt idx="11">
                  <c:v>70</c:v>
                </c:pt>
                <c:pt idx="12">
                  <c:v>75</c:v>
                </c:pt>
                <c:pt idx="13">
                  <c:v>80</c:v>
                </c:pt>
                <c:pt idx="14">
                  <c:v>85</c:v>
                </c:pt>
                <c:pt idx="15">
                  <c:v>90</c:v>
                </c:pt>
                <c:pt idx="16">
                  <c:v>95</c:v>
                </c:pt>
                <c:pt idx="17">
                  <c:v>100</c:v>
                </c:pt>
                <c:pt idx="18">
                  <c:v>105</c:v>
                </c:pt>
                <c:pt idx="19">
                  <c:v>110</c:v>
                </c:pt>
                <c:pt idx="20">
                  <c:v>115</c:v>
                </c:pt>
                <c:pt idx="21">
                  <c:v>120</c:v>
                </c:pt>
                <c:pt idx="22">
                  <c:v>105.84205150857743</c:v>
                </c:pt>
                <c:pt idx="23">
                  <c:v>105.84205150857743</c:v>
                </c:pt>
                <c:pt idx="24">
                  <c:v>87.468250794658715</c:v>
                </c:pt>
                <c:pt idx="25">
                  <c:v>87.468250794658715</c:v>
                </c:pt>
              </c:numCache>
            </c:numRef>
          </c:xVal>
          <c:yVal>
            <c:numRef>
              <c:f>Performance!$C$52:$X$52</c:f>
              <c:numCache>
                <c:formatCode>General</c:formatCode>
                <c:ptCount val="22"/>
                <c:pt idx="0">
                  <c:v>6.5958340253226611E-2</c:v>
                </c:pt>
                <c:pt idx="1">
                  <c:v>8.8839409900662691E-2</c:v>
                </c:pt>
                <c:pt idx="2">
                  <c:v>0.11205388950756272</c:v>
                </c:pt>
                <c:pt idx="3">
                  <c:v>0.13557349917366585</c:v>
                </c:pt>
                <c:pt idx="4">
                  <c:v>0.15937767942756836</c:v>
                </c:pt>
                <c:pt idx="5">
                  <c:v>0.18345066244260408</c:v>
                </c:pt>
                <c:pt idx="6">
                  <c:v>0.20777989705814415</c:v>
                </c:pt>
                <c:pt idx="7">
                  <c:v>0.23235511523954111</c:v>
                </c:pt>
                <c:pt idx="8">
                  <c:v>0.25716773861939402</c:v>
                </c:pt>
                <c:pt idx="9">
                  <c:v>0.28221048069366705</c:v>
                </c:pt>
                <c:pt idx="10">
                  <c:v>0.30747706882904818</c:v>
                </c:pt>
                <c:pt idx="11">
                  <c:v>0.33296204335132945</c:v>
                </c:pt>
                <c:pt idx="12">
                  <c:v>0.358660608254321</c:v>
                </c:pt>
                <c:pt idx="13">
                  <c:v>0.38456851764890781</c:v>
                </c:pt>
                <c:pt idx="14">
                  <c:v>0.41068198766233466</c:v>
                </c:pt>
                <c:pt idx="15">
                  <c:v>0.43699762690135274</c:v>
                </c:pt>
                <c:pt idx="16">
                  <c:v>0.46351238074101853</c:v>
                </c:pt>
                <c:pt idx="17">
                  <c:v>0.49022348609949529</c:v>
                </c:pt>
                <c:pt idx="18">
                  <c:v>0.51712843429468591</c:v>
                </c:pt>
                <c:pt idx="19">
                  <c:v>0.54422494021932777</c:v>
                </c:pt>
                <c:pt idx="20">
                  <c:v>0.57151091651945274</c:v>
                </c:pt>
                <c:pt idx="21">
                  <c:v>0.59898445178069215</c:v>
                </c:pt>
              </c:numCache>
            </c:numRef>
          </c:yVal>
          <c:smooth val="0"/>
        </c:ser>
        <c:ser>
          <c:idx val="1"/>
          <c:order val="1"/>
          <c:spPr>
            <a:ln w="3175">
              <a:solidFill>
                <a:srgbClr val="00FF00"/>
              </a:solidFill>
              <a:prstDash val="solid"/>
            </a:ln>
          </c:spPr>
          <c:marker>
            <c:symbol val="none"/>
          </c:marker>
          <c:dPt>
            <c:idx val="23"/>
            <c:bubble3D val="0"/>
            <c:spPr>
              <a:ln w="12700">
                <a:solidFill>
                  <a:srgbClr val="00FF00"/>
                </a:solidFill>
                <a:prstDash val="solid"/>
              </a:ln>
            </c:spPr>
          </c:dPt>
          <c:dLbls>
            <c:dLbl>
              <c:idx val="0"/>
              <c:tx>
                <c:strRef>
                  <c:f>Performance!$C$47</c:f>
                  <c:strCache>
                    <c:ptCount val="1"/>
                    <c:pt idx="0">
                      <c:v>5</c:v>
                    </c:pt>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{E3A10165-BFCA-4877-A287-03CCCB59E776}</c15:txfldGUID>
                      <c15:f>Performance!$C$47</c15:f>
                      <c15:dlblFieldTableCache>
                        <c:ptCount val="1"/>
                        <c:pt idx="0">
                          <c:v>5</c:v>
                        </c:pt>
                      </c15:dlblFieldTableCache>
                    </c15:dlblFTEntry>
                  </c15:dlblFieldTable>
                  <c15:showDataLabelsRange val="0"/>
                </c:ext>
              </c:extLst>
            </c:dLbl>
            <c:dLbl>
              <c:idx val="1"/>
              <c:tx>
                <c:strRef>
                  <c:f>Performance!$D$47</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{728E6E9C-036E-42CF-8BD9-E42B1137DC07}</c15:txfldGUID>
                      <c15:f>Performance!$D$47</c15:f>
                      <c15:dlblFieldTableCache>
                        <c:ptCount val="1"/>
                      </c15:dlblFieldTableCache>
                    </c15:dlblFTEntry>
                  </c15:dlblFieldTable>
                  <c15:showDataLabelsRange val="0"/>
                </c:ext>
              </c:extLst>
            </c:dLbl>
            <c:dLbl>
              <c:idx val="2"/>
              <c:tx>
                <c:strRef>
                  <c:f>Performance!$E$47</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{5DB11628-CB98-48EA-8C24-63A3AC628D94}</c15:txfldGUID>
                      <c15:f>Performance!$E$47</c15:f>
                      <c15:dlblFieldTableCache>
                        <c:ptCount val="1"/>
                      </c15:dlblFieldTableCache>
                    </c15:dlblFTEntry>
                  </c15:dlblFieldTable>
                  <c15:showDataLabelsRange val="0"/>
                </c:ext>
              </c:extLst>
            </c:dLbl>
            <c:dLbl>
              <c:idx val="3"/>
              <c:tx>
                <c:strRef>
                  <c:f>Performance!$F$47</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{A3A9C1DA-013C-46E5-B8DF-802F70A08331}</c15:txfldGUID>
                      <c15:f>Performance!$F$47</c15:f>
                      <c15:dlblFieldTableCache>
                        <c:ptCount val="1"/>
                      </c15:dlblFieldTableCache>
                    </c15:dlblFTEntry>
                  </c15:dlblFieldTable>
                  <c15:showDataLabelsRange val="0"/>
                </c:ext>
              </c:extLst>
            </c:dLbl>
            <c:dLbl>
              <c:idx val="4"/>
              <c:tx>
                <c:strRef>
                  <c:f>Performance!$G$47</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{743C904A-803F-4045-8994-E48A3CC719EF}</c15:txfldGUID>
                      <c15:f>Performance!$G$47</c15:f>
                      <c15:dlblFieldTableCache>
                        <c:ptCount val="1"/>
                      </c15:dlblFieldTableCache>
                    </c15:dlblFTEntry>
                  </c15:dlblFieldTable>
                  <c15:showDataLabelsRange val="0"/>
                </c:ext>
              </c:extLst>
            </c:dLbl>
            <c:dLbl>
              <c:idx val="5"/>
              <c:tx>
                <c:strRef>
                  <c:f>Performance!$H$47</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{442C8BA2-670A-4C56-935E-C0DEEB48230F}</c15:txfldGUID>
                      <c15:f>Performance!$H$47</c15:f>
                      <c15:dlblFieldTableCache>
                        <c:ptCount val="1"/>
                      </c15:dlblFieldTableCache>
                    </c15:dlblFTEntry>
                  </c15:dlblFieldTable>
                  <c15:showDataLabelsRange val="0"/>
                </c:ext>
              </c:extLst>
            </c:dLbl>
            <c:dLbl>
              <c:idx val="6"/>
              <c:tx>
                <c:strRef>
                  <c:f>Performance!$I$47</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{EA220602-188A-43BB-85C8-CA46509B4BB4}</c15:txfldGUID>
                      <c15:f>Performance!$I$47</c15:f>
                      <c15:dlblFieldTableCache>
                        <c:ptCount val="1"/>
                      </c15:dlblFieldTableCache>
                    </c15:dlblFTEntry>
                  </c15:dlblFieldTable>
                  <c15:showDataLabelsRange val="0"/>
                </c:ext>
              </c:extLst>
            </c:dLbl>
            <c:dLbl>
              <c:idx val="7"/>
              <c:tx>
                <c:strRef>
                  <c:f>Performance!$J$47</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{9BA63EBB-7F2E-4743-B417-F646CE84C7B8}</c15:txfldGUID>
                      <c15:f>Performance!$J$47</c15:f>
                      <c15:dlblFieldTableCache>
                        <c:ptCount val="1"/>
                      </c15:dlblFieldTableCache>
                    </c15:dlblFTEntry>
                  </c15:dlblFieldTable>
                  <c15:showDataLabelsRange val="0"/>
                </c:ext>
              </c:extLst>
            </c:dLbl>
            <c:dLbl>
              <c:idx val="8"/>
              <c:tx>
                <c:strRef>
                  <c:f>Performance!$K$47</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{32E9AD7F-7445-4E14-B2CA-E504552683CD}</c15:txfldGUID>
                      <c15:f>Performance!$K$47</c15:f>
                      <c15:dlblFieldTableCache>
                        <c:ptCount val="1"/>
                      </c15:dlblFieldTableCache>
                    </c15:dlblFTEntry>
                  </c15:dlblFieldTable>
                  <c15:showDataLabelsRange val="0"/>
                </c:ext>
              </c:extLst>
            </c:dLbl>
            <c:dLbl>
              <c:idx val="9"/>
              <c:tx>
                <c:strRef>
                  <c:f>Performance!$L$47</c:f>
                  <c:strCache>
                    <c:ptCount val="1"/>
                    <c:pt idx="0">
                      <c:v>v</c:v>
                    </c:pt>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{BD0FC16A-FE9A-4316-AE1D-96070BA30EA8}</c15:txfldGUID>
                      <c15:f>Performance!$L$47</c15:f>
                      <c15:dlblFieldTableCache>
                        <c:ptCount val="1"/>
                        <c:pt idx="0">
                          <c:v>v</c:v>
                        </c:pt>
                      </c15:dlblFieldTableCache>
                    </c15:dlblFTEntry>
                  </c15:dlblFieldTable>
                  <c15:showDataLabelsRange val="0"/>
                </c:ext>
              </c:extLst>
            </c:dLbl>
            <c:dLbl>
              <c:idx val="10"/>
              <c:tx>
                <c:strRef>
                  <c:f>Performance!$M$47</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{42D78405-BB22-4EE0-A86F-5C7111153AAB}</c15:txfldGUID>
                      <c15:f>Performance!$M$47</c15:f>
                      <c15:dlblFieldTableCache>
                        <c:ptCount val="1"/>
                      </c15:dlblFieldTableCache>
                    </c15:dlblFTEntry>
                  </c15:dlblFieldTable>
                  <c15:showDataLabelsRange val="0"/>
                </c:ext>
              </c:extLst>
            </c:dLbl>
            <c:dLbl>
              <c:idx val="11"/>
              <c:tx>
                <c:strRef>
                  <c:f>Performance!$N$47</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{63B01529-46EE-4814-89BB-4F040869CF2B}</c15:txfldGUID>
                      <c15:f>Performance!$N$47</c15:f>
                      <c15:dlblFieldTableCache>
                        <c:ptCount val="1"/>
                      </c15:dlblFieldTableCache>
                    </c15:dlblFTEntry>
                  </c15:dlblFieldTable>
                  <c15:showDataLabelsRange val="0"/>
                </c:ext>
              </c:extLst>
            </c:dLbl>
            <c:dLbl>
              <c:idx val="12"/>
              <c:tx>
                <c:strRef>
                  <c:f>Performance!$O$47</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{42312E9D-60AD-49CE-B8C6-143FE66C4079}</c15:txfldGUID>
                      <c15:f>Performance!$O$47</c15:f>
                      <c15:dlblFieldTableCache>
                        <c:ptCount val="1"/>
                      </c15:dlblFieldTableCache>
                    </c15:dlblFTEntry>
                  </c15:dlblFieldTable>
                  <c15:showDataLabelsRange val="0"/>
                </c:ext>
              </c:extLst>
            </c:dLbl>
            <c:dLbl>
              <c:idx val="13"/>
              <c:tx>
                <c:strRef>
                  <c:f>Performance!$P$47</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{A95B85F0-AA99-4AFA-A4D9-420B7E7A0754}</c15:txfldGUID>
                      <c15:f>Performance!$P$47</c15:f>
                      <c15:dlblFieldTableCache>
                        <c:ptCount val="1"/>
                      </c15:dlblFieldTableCache>
                    </c15:dlblFTEntry>
                  </c15:dlblFieldTable>
                  <c15:showDataLabelsRange val="0"/>
                </c:ext>
              </c:extLst>
            </c:dLbl>
            <c:dLbl>
              <c:idx val="14"/>
              <c:tx>
                <c:strRef>
                  <c:f>Performance!$Q$47</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{880B9DA7-4ACB-421F-9717-2F27FA28AE67}</c15:txfldGUID>
                      <c15:f>Performance!$Q$47</c15:f>
                      <c15:dlblFieldTableCache>
                        <c:ptCount val="1"/>
                      </c15:dlblFieldTableCache>
                    </c15:dlblFTEntry>
                  </c15:dlblFieldTable>
                  <c15:showDataLabelsRange val="0"/>
                </c:ext>
              </c:extLst>
            </c:dLbl>
            <c:dLbl>
              <c:idx val="15"/>
              <c:tx>
                <c:strRef>
                  <c:f>Performance!$R$47</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{A19A9EE4-C26C-4CD2-895F-E8F5B65045DA}</c15:txfldGUID>
                      <c15:f>Performance!$R$47</c15:f>
                      <c15:dlblFieldTableCache>
                        <c:ptCount val="1"/>
                      </c15:dlblFieldTableCache>
                    </c15:dlblFTEntry>
                  </c15:dlblFieldTable>
                  <c15:showDataLabelsRange val="0"/>
                </c:ext>
              </c:extLst>
            </c:dLbl>
            <c:dLbl>
              <c:idx val="16"/>
              <c:tx>
                <c:strRef>
                  <c:f>Performance!$S$47</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{77C4197A-D817-465B-B27C-1BC1ED3A93F4}</c15:txfldGUID>
                      <c15:f>Performance!$S$47</c15:f>
                      <c15:dlblFieldTableCache>
                        <c:ptCount val="1"/>
                      </c15:dlblFieldTableCache>
                    </c15:dlblFTEntry>
                  </c15:dlblFieldTable>
                  <c15:showDataLabelsRange val="0"/>
                </c:ext>
              </c:extLst>
            </c:dLbl>
            <c:dLbl>
              <c:idx val="17"/>
              <c:tx>
                <c:strRef>
                  <c:f>Performance!$T$47</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{AF3D5602-53F9-403B-955E-0DA588381B5F}</c15:txfldGUID>
                      <c15:f>Performance!$T$47</c15:f>
                      <c15:dlblFieldTableCache>
                        <c:ptCount val="1"/>
                      </c15:dlblFieldTableCache>
                    </c15:dlblFTEntry>
                  </c15:dlblFieldTable>
                  <c15:showDataLabelsRange val="0"/>
                </c:ext>
              </c:extLst>
            </c:dLbl>
            <c:dLbl>
              <c:idx val="18"/>
              <c:tx>
                <c:strRef>
                  <c:f>Performance!$U$47</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{A7C3BE8F-0749-455B-85D3-EB75204CE313}</c15:txfldGUID>
                      <c15:f>Performance!$U$47</c15:f>
                      <c15:dlblFieldTableCache>
                        <c:ptCount val="1"/>
                      </c15:dlblFieldTableCache>
                    </c15:dlblFTEntry>
                  </c15:dlblFieldTable>
                  <c15:showDataLabelsRange val="0"/>
                </c:ext>
              </c:extLst>
            </c:dLbl>
            <c:dLbl>
              <c:idx val="19"/>
              <c:tx>
                <c:strRef>
                  <c:f>Performance!$V$47</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{499B1902-F4DF-47F6-9BCF-B4B6688CE3A8}</c15:txfldGUID>
                      <c15:f>Performance!$V$47</c15:f>
                      <c15:dlblFieldTableCache>
                        <c:ptCount val="1"/>
                      </c15:dlblFieldTableCache>
                    </c15:dlblFTEntry>
                  </c15:dlblFieldTable>
                  <c15:showDataLabelsRange val="0"/>
                </c:ext>
              </c:extLst>
            </c:dLbl>
            <c:dLbl>
              <c:idx val="20"/>
              <c:tx>
                <c:strRef>
                  <c:f>Performance!$W$47</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{C933EE42-D5FC-4E96-BF85-57446C404A1E}</c15:txfldGUID>
                      <c15:f>Performance!$W$47</c15:f>
                      <c15:dlblFieldTableCache>
                        <c:ptCount val="1"/>
                      </c15:dlblFieldTableCache>
                    </c15:dlblFTEntry>
                  </c15:dlblFieldTable>
                  <c15:showDataLabelsRange val="0"/>
                </c:ext>
              </c:extLst>
            </c:dLbl>
            <c:dLbl>
              <c:idx val="21"/>
              <c:tx>
                <c:strRef>
                  <c:f>Performance!$X$47</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{B1864C5B-DEBA-4C55-8C75-8BC5946E8536}</c15:txfldGUID>
                      <c15:f>Performance!$X$47</c15:f>
                      <c15:dlblFieldTableCache>
                        <c:ptCount val="1"/>
                      </c15:dlblFieldTableCache>
                    </c15:dlblFTEntry>
                  </c15:dlblFieldTable>
                  <c15:showDataLabelsRange val="0"/>
                </c:ext>
              </c:extLst>
            </c:dLbl>
            <c:dLbl>
              <c:idx val="22"/>
              <c:tx>
                <c:strRef>
                  <c:f>Performance!$Y$47</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{E515B963-14C9-4D54-9718-E7F65268C3D0}</c15:txfldGUID>
                      <c15:f>Performance!$Y$47</c15:f>
                      <c15:dlblFieldTableCache>
                        <c:ptCount val="1"/>
                      </c15:dlblFieldTableCache>
                    </c15:dlblFTEntry>
                  </c15:dlblFieldTable>
                  <c15:showDataLabelsRange val="0"/>
                </c:ext>
              </c:extLst>
            </c:dLbl>
            <c:dLbl>
              <c:idx val="23"/>
              <c:tx>
                <c:strRef>
                  <c:f>Performance!$Z$47</c:f>
                  <c:strCache>
                    <c:ptCount val="1"/>
                    <c:pt idx="0">
                      <c:v>Landing</c:v>
                    </c:pt>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{C9057B2F-07D6-46AC-8E11-31F058D5CDEE}</c15:txfldGUID>
                      <c15:f>Performance!$Z$47</c15:f>
                      <c15:dlblFieldTableCache>
                        <c:ptCount val="1"/>
                        <c:pt idx="0">
                          <c:v>Landing</c:v>
                        </c:pt>
                      </c15:dlblFieldTableCache>
                    </c15:dlblFTEntry>
                  </c15:dlblFieldTable>
                  <c15:showDataLabelsRange val="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Performance!$C$48:$AB$48</c:f>
              <c:numCache>
                <c:formatCode>General</c:formatCode>
                <c:ptCount val="26"/>
                <c:pt idx="0">
                  <c:v>15</c:v>
                </c:pt>
                <c:pt idx="1">
                  <c:v>20</c:v>
                </c:pt>
                <c:pt idx="2">
                  <c:v>25</c:v>
                </c:pt>
                <c:pt idx="3">
                  <c:v>30</c:v>
                </c:pt>
                <c:pt idx="4">
                  <c:v>35</c:v>
                </c:pt>
                <c:pt idx="5">
                  <c:v>40</c:v>
                </c:pt>
                <c:pt idx="6">
                  <c:v>45</c:v>
                </c:pt>
                <c:pt idx="7">
                  <c:v>50</c:v>
                </c:pt>
                <c:pt idx="8">
                  <c:v>55</c:v>
                </c:pt>
                <c:pt idx="9">
                  <c:v>60</c:v>
                </c:pt>
                <c:pt idx="10">
                  <c:v>65</c:v>
                </c:pt>
                <c:pt idx="11">
                  <c:v>70</c:v>
                </c:pt>
                <c:pt idx="12">
                  <c:v>75</c:v>
                </c:pt>
                <c:pt idx="13">
                  <c:v>80</c:v>
                </c:pt>
                <c:pt idx="14">
                  <c:v>85</c:v>
                </c:pt>
                <c:pt idx="15">
                  <c:v>90</c:v>
                </c:pt>
                <c:pt idx="16">
                  <c:v>95</c:v>
                </c:pt>
                <c:pt idx="17">
                  <c:v>100</c:v>
                </c:pt>
                <c:pt idx="18">
                  <c:v>105</c:v>
                </c:pt>
                <c:pt idx="19">
                  <c:v>110</c:v>
                </c:pt>
                <c:pt idx="20">
                  <c:v>115</c:v>
                </c:pt>
                <c:pt idx="21">
                  <c:v>120</c:v>
                </c:pt>
                <c:pt idx="22">
                  <c:v>105.84205150857743</c:v>
                </c:pt>
                <c:pt idx="23">
                  <c:v>105.84205150857743</c:v>
                </c:pt>
                <c:pt idx="24">
                  <c:v>87.468250794658715</c:v>
                </c:pt>
                <c:pt idx="25">
                  <c:v>87.468250794658715</c:v>
                </c:pt>
              </c:numCache>
            </c:numRef>
          </c:xVal>
          <c:yVal>
            <c:numRef>
              <c:f>Performance!$C$53:$Z$53</c:f>
              <c:numCache>
                <c:formatCode>General</c:formatCode>
                <c:ptCount val="24"/>
                <c:pt idx="22">
                  <c:v>0</c:v>
                </c:pt>
                <c:pt idx="23">
                  <c:v>3.4416553330731658</c:v>
                </c:pt>
              </c:numCache>
            </c:numRef>
          </c:yVal>
          <c:smooth val="0"/>
        </c:ser>
        <c:ser>
          <c:idx val="2"/>
          <c:order val="2"/>
          <c:spPr>
            <a:ln w="3175">
              <a:solidFill>
                <a:srgbClr val="00FFFF"/>
              </a:solidFill>
              <a:prstDash val="solid"/>
            </a:ln>
          </c:spPr>
          <c:marker>
            <c:symbol val="none"/>
          </c:marker>
          <c:dPt>
            <c:idx val="25"/>
            <c:bubble3D val="0"/>
            <c:spPr>
              <a:ln w="12700">
                <a:solidFill>
                  <a:srgbClr val="00FFFF"/>
                </a:solidFill>
                <a:prstDash val="solid"/>
              </a:ln>
            </c:spPr>
          </c:dPt>
          <c:dLbls>
            <c:dLbl>
              <c:idx val="0"/>
              <c:tx>
                <c:strRef>
                  <c:f>Performance!$C$46</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{35D020F3-9EB6-4169-AC5A-6A559BDE1B45}</c15:txfldGUID>
                      <c15:f>Performance!$C$46</c15:f>
                      <c15:dlblFieldTableCache>
                        <c:ptCount val="1"/>
                      </c15:dlblFieldTableCache>
                    </c15:dlblFTEntry>
                  </c15:dlblFieldTable>
                  <c15:showDataLabelsRange val="0"/>
                </c:ext>
              </c:extLst>
            </c:dLbl>
            <c:dLbl>
              <c:idx val="1"/>
              <c:tx>
                <c:strRef>
                  <c:f>Performance!$D$46</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{5BF24AD3-D3FE-4B32-B66B-E0B59963AFBB}</c15:txfldGUID>
                      <c15:f>Performance!$D$46</c15:f>
                      <c15:dlblFieldTableCache>
                        <c:ptCount val="1"/>
                      </c15:dlblFieldTableCache>
                    </c15:dlblFTEntry>
                  </c15:dlblFieldTable>
                  <c15:showDataLabelsRange val="0"/>
                </c:ext>
              </c:extLst>
            </c:dLbl>
            <c:dLbl>
              <c:idx val="2"/>
              <c:tx>
                <c:strRef>
                  <c:f>Performance!$E$46</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{ECE0A0C3-AF1B-41FE-8864-3B80C3500730}</c15:txfldGUID>
                      <c15:f>Performance!$E$46</c15:f>
                      <c15:dlblFieldTableCache>
                        <c:ptCount val="1"/>
                      </c15:dlblFieldTableCache>
                    </c15:dlblFTEntry>
                  </c15:dlblFieldTable>
                  <c15:showDataLabelsRange val="0"/>
                </c:ext>
              </c:extLst>
            </c:dLbl>
            <c:dLbl>
              <c:idx val="3"/>
              <c:tx>
                <c:strRef>
                  <c:f>Performance!$F$46</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{442E15CA-AB8D-423B-A12B-4D3CD8008FEA}</c15:txfldGUID>
                      <c15:f>Performance!$F$46</c15:f>
                      <c15:dlblFieldTableCache>
                        <c:ptCount val="1"/>
                      </c15:dlblFieldTableCache>
                    </c15:dlblFTEntry>
                  </c15:dlblFieldTable>
                  <c15:showDataLabelsRange val="0"/>
                </c:ext>
              </c:extLst>
            </c:dLbl>
            <c:dLbl>
              <c:idx val="4"/>
              <c:tx>
                <c:strRef>
                  <c:f>Performance!$G$46</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{011E3970-90C0-4E72-A5E6-D77BDE54F900}</c15:txfldGUID>
                      <c15:f>Performance!$G$46</c15:f>
                      <c15:dlblFieldTableCache>
                        <c:ptCount val="1"/>
                      </c15:dlblFieldTableCache>
                    </c15:dlblFTEntry>
                  </c15:dlblFieldTable>
                  <c15:showDataLabelsRange val="0"/>
                </c:ext>
              </c:extLst>
            </c:dLbl>
            <c:dLbl>
              <c:idx val="5"/>
              <c:tx>
                <c:strRef>
                  <c:f>Performance!$H$46</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{42D83AD6-54B1-488B-9C10-289C20ECFF6B}</c15:txfldGUID>
                      <c15:f>Performance!$H$46</c15:f>
                      <c15:dlblFieldTableCache>
                        <c:ptCount val="1"/>
                      </c15:dlblFieldTableCache>
                    </c15:dlblFTEntry>
                  </c15:dlblFieldTable>
                  <c15:showDataLabelsRange val="0"/>
                </c:ext>
              </c:extLst>
            </c:dLbl>
            <c:dLbl>
              <c:idx val="6"/>
              <c:tx>
                <c:strRef>
                  <c:f>Performance!$I$46</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{F30A42D8-17DC-4327-9A48-C6469EB2845C}</c15:txfldGUID>
                      <c15:f>Performance!$I$46</c15:f>
                      <c15:dlblFieldTableCache>
                        <c:ptCount val="1"/>
                      </c15:dlblFieldTableCache>
                    </c15:dlblFTEntry>
                  </c15:dlblFieldTable>
                  <c15:showDataLabelsRange val="0"/>
                </c:ext>
              </c:extLst>
            </c:dLbl>
            <c:dLbl>
              <c:idx val="7"/>
              <c:tx>
                <c:strRef>
                  <c:f>Performance!$J$46</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{50F47E7F-82AA-45D1-9E33-264091B9F45A}</c15:txfldGUID>
                      <c15:f>Performance!$J$46</c15:f>
                      <c15:dlblFieldTableCache>
                        <c:ptCount val="1"/>
                      </c15:dlblFieldTableCache>
                    </c15:dlblFTEntry>
                  </c15:dlblFieldTable>
                  <c15:showDataLabelsRange val="0"/>
                </c:ext>
              </c:extLst>
            </c:dLbl>
            <c:dLbl>
              <c:idx val="8"/>
              <c:tx>
                <c:strRef>
                  <c:f>Performance!$K$46</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{1775C5FF-73A8-454F-A6A0-2FDFA3E171F4}</c15:txfldGUID>
                      <c15:f>Performance!$K$46</c15:f>
                      <c15:dlblFieldTableCache>
                        <c:ptCount val="1"/>
                      </c15:dlblFieldTableCache>
                    </c15:dlblFTEntry>
                  </c15:dlblFieldTable>
                  <c15:showDataLabelsRange val="0"/>
                </c:ext>
              </c:extLst>
            </c:dLbl>
            <c:dLbl>
              <c:idx val="9"/>
              <c:tx>
                <c:strRef>
                  <c:f>Performance!$L$46</c:f>
                  <c:strCache>
                    <c:ptCount val="1"/>
                    <c:pt idx="0">
                      <c:v>guess</c:v>
                    </c:pt>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{1378BF8E-4B52-4803-ABFA-197CF46AB1CE}</c15:txfldGUID>
                      <c15:f>Performance!$L$46</c15:f>
                      <c15:dlblFieldTableCache>
                        <c:ptCount val="1"/>
                        <c:pt idx="0">
                          <c:v>guess</c:v>
                        </c:pt>
                      </c15:dlblFieldTableCache>
                    </c15:dlblFTEntry>
                  </c15:dlblFieldTable>
                  <c15:showDataLabelsRange val="0"/>
                </c:ext>
              </c:extLst>
            </c:dLbl>
            <c:dLbl>
              <c:idx val="10"/>
              <c:tx>
                <c:strRef>
                  <c:f>Performance!$M$46</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{14ADD2C5-C464-4557-9E9A-5116DB96A800}</c15:txfldGUID>
                      <c15:f>Performance!$M$46</c15:f>
                      <c15:dlblFieldTableCache>
                        <c:ptCount val="1"/>
                      </c15:dlblFieldTableCache>
                    </c15:dlblFTEntry>
                  </c15:dlblFieldTable>
                  <c15:showDataLabelsRange val="0"/>
                </c:ext>
              </c:extLst>
            </c:dLbl>
            <c:dLbl>
              <c:idx val="11"/>
              <c:tx>
                <c:strRef>
                  <c:f>Performance!$N$46</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{9954C56E-664A-41C9-816B-4D1FA51EF352}</c15:txfldGUID>
                      <c15:f>Performance!$N$46</c15:f>
                      <c15:dlblFieldTableCache>
                        <c:ptCount val="1"/>
                      </c15:dlblFieldTableCache>
                    </c15:dlblFTEntry>
                  </c15:dlblFieldTable>
                  <c15:showDataLabelsRange val="0"/>
                </c:ext>
              </c:extLst>
            </c:dLbl>
            <c:dLbl>
              <c:idx val="12"/>
              <c:tx>
                <c:strRef>
                  <c:f>Performance!$O$46</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{9B27C0F2-B6C9-4805-AF48-735A14AF9050}</c15:txfldGUID>
                      <c15:f>Performance!$O$46</c15:f>
                      <c15:dlblFieldTableCache>
                        <c:ptCount val="1"/>
                      </c15:dlblFieldTableCache>
                    </c15:dlblFTEntry>
                  </c15:dlblFieldTable>
                  <c15:showDataLabelsRange val="0"/>
                </c:ext>
              </c:extLst>
            </c:dLbl>
            <c:dLbl>
              <c:idx val="13"/>
              <c:tx>
                <c:strRef>
                  <c:f>Performance!$P$46</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{F396834F-B6A8-43B9-8A42-F17A349E7571}</c15:txfldGUID>
                      <c15:f>Performance!$P$46</c15:f>
                      <c15:dlblFieldTableCache>
                        <c:ptCount val="1"/>
                      </c15:dlblFieldTableCache>
                    </c15:dlblFTEntry>
                  </c15:dlblFieldTable>
                  <c15:showDataLabelsRange val="0"/>
                </c:ext>
              </c:extLst>
            </c:dLbl>
            <c:dLbl>
              <c:idx val="14"/>
              <c:tx>
                <c:strRef>
                  <c:f>Performance!$Q$46</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{5DB6F5BF-59D3-46AA-97CA-A859082CA2F5}</c15:txfldGUID>
                      <c15:f>Performance!$Q$46</c15:f>
                      <c15:dlblFieldTableCache>
                        <c:ptCount val="1"/>
                      </c15:dlblFieldTableCache>
                    </c15:dlblFTEntry>
                  </c15:dlblFieldTable>
                  <c15:showDataLabelsRange val="0"/>
                </c:ext>
              </c:extLst>
            </c:dLbl>
            <c:dLbl>
              <c:idx val="15"/>
              <c:tx>
                <c:strRef>
                  <c:f>Performance!$R$46</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{0B18F392-37CE-40F4-8182-9FF88A5B1833}</c15:txfldGUID>
                      <c15:f>Performance!$R$46</c15:f>
                      <c15:dlblFieldTableCache>
                        <c:ptCount val="1"/>
                      </c15:dlblFieldTableCache>
                    </c15:dlblFTEntry>
                  </c15:dlblFieldTable>
                  <c15:showDataLabelsRange val="0"/>
                </c:ext>
              </c:extLst>
            </c:dLbl>
            <c:dLbl>
              <c:idx val="16"/>
              <c:tx>
                <c:strRef>
                  <c:f>Performance!$S$46</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{6969BDF5-BDF7-449B-A2C5-95063C3F0656}</c15:txfldGUID>
                      <c15:f>Performance!$S$46</c15:f>
                      <c15:dlblFieldTableCache>
                        <c:ptCount val="1"/>
                      </c15:dlblFieldTableCache>
                    </c15:dlblFTEntry>
                  </c15:dlblFieldTable>
                  <c15:showDataLabelsRange val="0"/>
                </c:ext>
              </c:extLst>
            </c:dLbl>
            <c:dLbl>
              <c:idx val="17"/>
              <c:tx>
                <c:strRef>
                  <c:f>Performance!$T$46</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{8BE7ADF6-9439-4943-ABC2-216023764EC4}</c15:txfldGUID>
                      <c15:f>Performance!$T$46</c15:f>
                      <c15:dlblFieldTableCache>
                        <c:ptCount val="1"/>
                      </c15:dlblFieldTableCache>
                    </c15:dlblFTEntry>
                  </c15:dlblFieldTable>
                  <c15:showDataLabelsRange val="0"/>
                </c:ext>
              </c:extLst>
            </c:dLbl>
            <c:dLbl>
              <c:idx val="18"/>
              <c:tx>
                <c:strRef>
                  <c:f>Performance!$U$46</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{C976CCE9-0C3B-4DF5-93CC-857DE0BD04EF}</c15:txfldGUID>
                      <c15:f>Performance!$U$46</c15:f>
                      <c15:dlblFieldTableCache>
                        <c:ptCount val="1"/>
                      </c15:dlblFieldTableCache>
                    </c15:dlblFTEntry>
                  </c15:dlblFieldTable>
                  <c15:showDataLabelsRange val="0"/>
                </c:ext>
              </c:extLst>
            </c:dLbl>
            <c:dLbl>
              <c:idx val="19"/>
              <c:tx>
                <c:strRef>
                  <c:f>Performance!$V$46</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{C80EBE62-A675-48D7-B53D-E090737F6226}</c15:txfldGUID>
                      <c15:f>Performance!$V$46</c15:f>
                      <c15:dlblFieldTableCache>
                        <c:ptCount val="1"/>
                      </c15:dlblFieldTableCache>
                    </c15:dlblFTEntry>
                  </c15:dlblFieldTable>
                  <c15:showDataLabelsRange val="0"/>
                </c:ext>
              </c:extLst>
            </c:dLbl>
            <c:dLbl>
              <c:idx val="20"/>
              <c:tx>
                <c:strRef>
                  <c:f>Performance!$W$46</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{8FDC4837-3B91-4D80-B2AC-03CD2A50C913}</c15:txfldGUID>
                      <c15:f>Performance!$W$46</c15:f>
                      <c15:dlblFieldTableCache>
                        <c:ptCount val="1"/>
                      </c15:dlblFieldTableCache>
                    </c15:dlblFTEntry>
                  </c15:dlblFieldTable>
                  <c15:showDataLabelsRange val="0"/>
                </c:ext>
              </c:extLst>
            </c:dLbl>
            <c:dLbl>
              <c:idx val="21"/>
              <c:tx>
                <c:strRef>
                  <c:f>Performance!$X$46</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{3811F070-B4B0-44B6-99DD-ED44A23ECD20}</c15:txfldGUID>
                      <c15:f>Performance!$X$46</c15:f>
                      <c15:dlblFieldTableCache>
                        <c:ptCount val="1"/>
                      </c15:dlblFieldTableCache>
                    </c15:dlblFTEntry>
                  </c15:dlblFieldTable>
                  <c15:showDataLabelsRange val="0"/>
                </c:ext>
              </c:extLst>
            </c:dLbl>
            <c:dLbl>
              <c:idx val="22"/>
              <c:tx>
                <c:strRef>
                  <c:f>Performance!$Y$46</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{44893D23-FFA6-4B31-B48D-76BD3F47D22F}</c15:txfldGUID>
                      <c15:f>Performance!$Y$46</c15:f>
                      <c15:dlblFieldTableCache>
                        <c:ptCount val="1"/>
                      </c15:dlblFieldTableCache>
                    </c15:dlblFTEntry>
                  </c15:dlblFieldTable>
                  <c15:showDataLabelsRange val="0"/>
                </c:ext>
              </c:extLst>
            </c:dLbl>
            <c:dLbl>
              <c:idx val="23"/>
              <c:tx>
                <c:strRef>
                  <c:f>Performance!$Z$46</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{4C3034A2-30BB-42FD-8AAD-CCB920241408}</c15:txfldGUID>
                      <c15:f>Performance!$Z$46</c15:f>
                      <c15:dlblFieldTableCache>
                        <c:ptCount val="1"/>
                      </c15:dlblFieldTableCache>
                    </c15:dlblFTEntry>
                  </c15:dlblFieldTable>
                  <c15:showDataLabelsRange val="0"/>
                </c:ext>
              </c:extLst>
            </c:dLbl>
            <c:dLbl>
              <c:idx val="24"/>
              <c:tx>
                <c:strRef>
                  <c:f>Performance!$AA$46</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{84D8CBC5-1731-4864-9575-8B5DCEC3F808}</c15:txfldGUID>
                      <c15:f>Performance!$AA$46</c15:f>
                      <c15:dlblFieldTableCache>
                        <c:ptCount val="1"/>
                      </c15:dlblFieldTableCache>
                    </c15:dlblFTEntry>
                  </c15:dlblFieldTable>
                  <c15:showDataLabelsRange val="0"/>
                </c:ext>
              </c:extLst>
            </c:dLbl>
            <c:dLbl>
              <c:idx val="25"/>
              <c:tx>
                <c:strRef>
                  <c:f>Performance!$AB$46</c:f>
                  <c:strCache>
                    <c:ptCount val="1"/>
                    <c:pt idx="0">
                      <c:v>Inst. turn rate</c:v>
                    </c:pt>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{EFEC55E1-B258-4681-BEA8-AE45F2C57B59}</c15:txfldGUID>
                      <c15:f>Performance!$AB$46</c15:f>
                      <c15:dlblFieldTableCache>
                        <c:ptCount val="1"/>
                        <c:pt idx="0">
                          <c:v>Inst. turn rate</c:v>
                        </c:pt>
                      </c15:dlblFieldTableCache>
                    </c15:dlblFTEntry>
                  </c15:dlblFieldTable>
                  <c15:showDataLabelsRange val="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Performance!$C$48:$AB$48</c:f>
              <c:numCache>
                <c:formatCode>General</c:formatCode>
                <c:ptCount val="26"/>
                <c:pt idx="0">
                  <c:v>15</c:v>
                </c:pt>
                <c:pt idx="1">
                  <c:v>20</c:v>
                </c:pt>
                <c:pt idx="2">
                  <c:v>25</c:v>
                </c:pt>
                <c:pt idx="3">
                  <c:v>30</c:v>
                </c:pt>
                <c:pt idx="4">
                  <c:v>35</c:v>
                </c:pt>
                <c:pt idx="5">
                  <c:v>40</c:v>
                </c:pt>
                <c:pt idx="6">
                  <c:v>45</c:v>
                </c:pt>
                <c:pt idx="7">
                  <c:v>50</c:v>
                </c:pt>
                <c:pt idx="8">
                  <c:v>55</c:v>
                </c:pt>
                <c:pt idx="9">
                  <c:v>60</c:v>
                </c:pt>
                <c:pt idx="10">
                  <c:v>65</c:v>
                </c:pt>
                <c:pt idx="11">
                  <c:v>70</c:v>
                </c:pt>
                <c:pt idx="12">
                  <c:v>75</c:v>
                </c:pt>
                <c:pt idx="13">
                  <c:v>80</c:v>
                </c:pt>
                <c:pt idx="14">
                  <c:v>85</c:v>
                </c:pt>
                <c:pt idx="15">
                  <c:v>90</c:v>
                </c:pt>
                <c:pt idx="16">
                  <c:v>95</c:v>
                </c:pt>
                <c:pt idx="17">
                  <c:v>100</c:v>
                </c:pt>
                <c:pt idx="18">
                  <c:v>105</c:v>
                </c:pt>
                <c:pt idx="19">
                  <c:v>110</c:v>
                </c:pt>
                <c:pt idx="20">
                  <c:v>115</c:v>
                </c:pt>
                <c:pt idx="21">
                  <c:v>120</c:v>
                </c:pt>
                <c:pt idx="22">
                  <c:v>105.84205150857743</c:v>
                </c:pt>
                <c:pt idx="23">
                  <c:v>105.84205150857743</c:v>
                </c:pt>
                <c:pt idx="24">
                  <c:v>87.468250794658715</c:v>
                </c:pt>
                <c:pt idx="25">
                  <c:v>87.468250794658715</c:v>
                </c:pt>
              </c:numCache>
            </c:numRef>
          </c:xVal>
          <c:yVal>
            <c:numRef>
              <c:f>Performance!$C$60:$AB$60</c:f>
              <c:numCache>
                <c:formatCode>General</c:formatCode>
                <c:ptCount val="26"/>
                <c:pt idx="24">
                  <c:v>0</c:v>
                </c:pt>
                <c:pt idx="25">
                  <c:v>3.4416553330731658</c:v>
                </c:pt>
              </c:numCache>
            </c:numRef>
          </c:yVal>
          <c:smooth val="0"/>
        </c:ser>
        <c:ser>
          <c:idx val="3"/>
          <c:order val="3"/>
          <c:spPr>
            <a:ln w="12700">
              <a:solidFill>
                <a:srgbClr val="FF0000"/>
              </a:solidFill>
              <a:prstDash val="solid"/>
            </a:ln>
          </c:spPr>
          <c:marker>
            <c:symbol val="none"/>
          </c:marker>
          <c:dLbls>
            <c:dLbl>
              <c:idx val="0"/>
              <c:tx>
                <c:strRef>
                  <c:f>Performance!$A$79</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{BA727240-8B45-495E-B373-99790B231EDE}</c15:txfldGUID>
                      <c15:f>Performance!$A$79</c15:f>
                      <c15:dlblFieldTableCache>
                        <c:ptCount val="1"/>
                      </c15:dlblFieldTableCache>
                    </c15:dlblFTEntry>
                  </c15:dlblFieldTable>
                  <c15:showDataLabelsRange val="1"/>
                </c:ext>
              </c:extLst>
            </c:dLbl>
            <c:dLbl>
              <c:idx val="1"/>
              <c:tx>
                <c:rich>
                  <a:bodyPr/>
                  <a:lstStyle/>
                  <a:p>
                    <a:pPr>
                      <a:defRPr sz="1000" b="0" i="0" u="none" strike="noStrike" baseline="0">
                        <a:solidFill>
                          <a:srgbClr val="000000"/>
                        </a:solidFill>
                        <a:latin typeface="Arial"/>
                        <a:ea typeface="Arial"/>
                        <a:cs typeface="Arial"/>
                      </a:defRPr>
                    </a:pPr>
                    <a:fld id="{E9524851-4A66-4BFA-83FF-4ACCB00A7A4A}" type="CELLRANGE">
                      <a:rPr lang="en-US"/>
                      <a:pPr>
                        <a:defRPr sz="1000" b="0" i="0" u="none" strike="noStrike" baseline="0">
                          <a:solidFill>
                            <a:srgbClr val="000000"/>
                          </a:solidFill>
                          <a:latin typeface="Arial"/>
                          <a:ea typeface="Arial"/>
                          <a:cs typeface="Arial"/>
                        </a:defRPr>
                      </a:pPr>
                      <a:t>[CELLRANGE]</a:t>
                    </a:fld>
                    <a:endParaRPr lang="en-US"/>
                  </a:p>
                </c:rich>
              </c:tx>
              <c:spPr>
                <a:noFill/>
                <a:ln w="25400">
                  <a:noFill/>
                </a:ln>
              </c:spPr>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Lst>
            </c:dLbl>
            <c:dLbl>
              <c:idx val="2"/>
              <c:tx>
                <c:rich>
                  <a:bodyPr/>
                  <a:lstStyle/>
                  <a:p>
                    <a:pPr>
                      <a:defRPr sz="1000" b="0" i="0" u="none" strike="noStrike" baseline="0">
                        <a:solidFill>
                          <a:srgbClr val="000000"/>
                        </a:solidFill>
                        <a:latin typeface="Arial"/>
                        <a:ea typeface="Arial"/>
                        <a:cs typeface="Arial"/>
                      </a:defRPr>
                    </a:pPr>
                    <a:fld id="{DD34AEE1-8C03-48EC-8C1C-6DC98DFFF26A}" type="CELLRANGE">
                      <a:rPr lang="en-US"/>
                      <a:pPr>
                        <a:defRPr sz="1000" b="0" i="0" u="none" strike="noStrike" baseline="0">
                          <a:solidFill>
                            <a:srgbClr val="000000"/>
                          </a:solidFill>
                          <a:latin typeface="Arial"/>
                          <a:ea typeface="Arial"/>
                          <a:cs typeface="Arial"/>
                        </a:defRPr>
                      </a:pPr>
                      <a:t>[CELLRANGE]</a:t>
                    </a:fld>
                    <a:endParaRPr lang="en-US"/>
                  </a:p>
                </c:rich>
              </c:tx>
              <c:spPr>
                <a:noFill/>
                <a:ln w="25400">
                  <a:noFill/>
                </a:ln>
              </c:spPr>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Lst>
            </c:dLbl>
            <c:dLbl>
              <c:idx val="3"/>
              <c:tx>
                <c:strRef>
                  <c:f>Performance!$L$79</c:f>
                  <c:strCache>
                    <c:ptCount val="1"/>
                    <c:pt idx="0">
                      <c:v>SEP @1g [ft/sec]</c:v>
                    </c:pt>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{82DC13EF-F5FB-4D45-A081-A61AC774E34D}</c15:txfldGUID>
                      <c15:f>Performance!$L$79</c15:f>
                      <c15:dlblFieldTableCache>
                        <c:ptCount val="1"/>
                        <c:pt idx="0">
                          <c:v>SEP @1g [ft/sec]</c:v>
                        </c:pt>
                      </c15:dlblFieldTableCache>
                    </c15:dlblFTEntry>
                  </c15:dlblFieldTable>
                  <c15:showDataLabelsRange val="1"/>
                </c:ext>
              </c:extLst>
            </c:dLbl>
            <c:dLbl>
              <c:idx val="4"/>
              <c:tx>
                <c:rich>
                  <a:bodyPr/>
                  <a:lstStyle/>
                  <a:p>
                    <a:fld id="{4C1C315A-FDC1-428B-A4EE-16AADD9DDECF}"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Lst>
            </c:dLbl>
            <c:dLbl>
              <c:idx val="5"/>
              <c:tx>
                <c:rich>
                  <a:bodyPr/>
                  <a:lstStyle/>
                  <a:p>
                    <a:fld id="{E1AAD077-3E0B-450D-A48A-0296A039C8E0}"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Lst>
            </c:dLbl>
            <c:dLbl>
              <c:idx val="6"/>
              <c:tx>
                <c:rich>
                  <a:bodyPr/>
                  <a:lstStyle/>
                  <a:p>
                    <a:fld id="{B57B0F91-0934-455E-BA78-4A3A3EFDDAC7}"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Lst>
            </c:dLbl>
            <c:dLbl>
              <c:idx val="7"/>
              <c:tx>
                <c:rich>
                  <a:bodyPr/>
                  <a:lstStyle/>
                  <a:p>
                    <a:fld id="{58A864D9-452D-425D-AF06-8E556F6AE9AE}"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Lst>
            </c:dLbl>
            <c:dLbl>
              <c:idx val="8"/>
              <c:tx>
                <c:rich>
                  <a:bodyPr/>
                  <a:lstStyle/>
                  <a:p>
                    <a:fld id="{8C4506B8-C0F3-473F-998D-F5BB0242AA58}"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Lst>
            </c:dLbl>
            <c:dLbl>
              <c:idx val="9"/>
              <c:tx>
                <c:rich>
                  <a:bodyPr/>
                  <a:lstStyle/>
                  <a:p>
                    <a:fld id="{0A0EFA0E-5EC5-40C4-87C4-F8DC13196E27}"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Lst>
            </c:dLbl>
            <c:dLbl>
              <c:idx val="10"/>
              <c:tx>
                <c:rich>
                  <a:bodyPr/>
                  <a:lstStyle/>
                  <a:p>
                    <a:fld id="{F6D01380-28CD-4AF4-93FA-4B464A1AF248}"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Lst>
            </c:dLbl>
            <c:dLbl>
              <c:idx val="11"/>
              <c:tx>
                <c:rich>
                  <a:bodyPr/>
                  <a:lstStyle/>
                  <a:p>
                    <a:fld id="{7332993E-E940-4199-8316-1268CC59CA93}"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Lst>
            </c:dLbl>
            <c:dLbl>
              <c:idx val="1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Lst>
            </c:dLbl>
            <c:dLbl>
              <c:idx val="1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Lst>
            </c:dLbl>
            <c:dLbl>
              <c:idx val="1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Lst>
            </c:dLbl>
            <c:dLbl>
              <c:idx val="1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Lst>
            </c:dLbl>
            <c:dLbl>
              <c:idx val="1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Lst>
            </c:dLbl>
            <c:dLbl>
              <c:idx val="1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Lst>
            </c:dLbl>
            <c:dLbl>
              <c:idx val="1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Lst>
            </c:dLbl>
            <c:dLbl>
              <c:idx val="1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Lst>
            </c:dLbl>
            <c:dLbl>
              <c:idx val="2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Lst>
            </c:dLbl>
            <c:dLbl>
              <c:idx val="2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Lst>
            </c:dLbl>
            <c:spPr>
              <a:noFill/>
              <a:ln>
                <a:noFill/>
              </a:ln>
              <a:effectLst/>
            </c:sp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Performance!$C$48:$AB$48</c:f>
              <c:numCache>
                <c:formatCode>General</c:formatCode>
                <c:ptCount val="26"/>
                <c:pt idx="0">
                  <c:v>15</c:v>
                </c:pt>
                <c:pt idx="1">
                  <c:v>20</c:v>
                </c:pt>
                <c:pt idx="2">
                  <c:v>25</c:v>
                </c:pt>
                <c:pt idx="3">
                  <c:v>30</c:v>
                </c:pt>
                <c:pt idx="4">
                  <c:v>35</c:v>
                </c:pt>
                <c:pt idx="5">
                  <c:v>40</c:v>
                </c:pt>
                <c:pt idx="6">
                  <c:v>45</c:v>
                </c:pt>
                <c:pt idx="7">
                  <c:v>50</c:v>
                </c:pt>
                <c:pt idx="8">
                  <c:v>55</c:v>
                </c:pt>
                <c:pt idx="9">
                  <c:v>60</c:v>
                </c:pt>
                <c:pt idx="10">
                  <c:v>65</c:v>
                </c:pt>
                <c:pt idx="11">
                  <c:v>70</c:v>
                </c:pt>
                <c:pt idx="12">
                  <c:v>75</c:v>
                </c:pt>
                <c:pt idx="13">
                  <c:v>80</c:v>
                </c:pt>
                <c:pt idx="14">
                  <c:v>85</c:v>
                </c:pt>
                <c:pt idx="15">
                  <c:v>90</c:v>
                </c:pt>
                <c:pt idx="16">
                  <c:v>95</c:v>
                </c:pt>
                <c:pt idx="17">
                  <c:v>100</c:v>
                </c:pt>
                <c:pt idx="18">
                  <c:v>105</c:v>
                </c:pt>
                <c:pt idx="19">
                  <c:v>110</c:v>
                </c:pt>
                <c:pt idx="20">
                  <c:v>115</c:v>
                </c:pt>
                <c:pt idx="21">
                  <c:v>120</c:v>
                </c:pt>
                <c:pt idx="22">
                  <c:v>105.84205150857743</c:v>
                </c:pt>
                <c:pt idx="23">
                  <c:v>105.84205150857743</c:v>
                </c:pt>
                <c:pt idx="24">
                  <c:v>87.468250794658715</c:v>
                </c:pt>
                <c:pt idx="25">
                  <c:v>87.468250794658715</c:v>
                </c:pt>
              </c:numCache>
            </c:numRef>
          </c:xVal>
          <c:yVal>
            <c:numRef>
              <c:f>Performance!$C$61:$X$61</c:f>
              <c:numCache>
                <c:formatCode>General</c:formatCode>
                <c:ptCount val="22"/>
                <c:pt idx="0">
                  <c:v>2.643482217200066</c:v>
                </c:pt>
                <c:pt idx="1">
                  <c:v>2.056906803055476</c:v>
                </c:pt>
                <c:pt idx="2">
                  <c:v>1.7064956660564645</c:v>
                </c:pt>
                <c:pt idx="3">
                  <c:v>1.4741666676302418</c:v>
                </c:pt>
                <c:pt idx="4">
                  <c:v>1.3093131769598989</c:v>
                </c:pt>
                <c:pt idx="5">
                  <c:v>1.1866318786369807</c:v>
                </c:pt>
                <c:pt idx="6">
                  <c:v>1.0920653752123459</c:v>
                </c:pt>
                <c:pt idx="7">
                  <c:v>1.0171792282165089</c:v>
                </c:pt>
                <c:pt idx="8">
                  <c:v>0.95660606771434342</c:v>
                </c:pt>
                <c:pt idx="9">
                  <c:v>0.90676764708243163</c:v>
                </c:pt>
                <c:pt idx="10">
                  <c:v>0.86518671865840713</c:v>
                </c:pt>
                <c:pt idx="11">
                  <c:v>0.83009381982629415</c:v>
                </c:pt>
                <c:pt idx="12">
                  <c:v>0.80019134466771036</c:v>
                </c:pt>
                <c:pt idx="13">
                  <c:v>0.77450608874386895</c:v>
                </c:pt>
                <c:pt idx="14">
                  <c:v>0.75229383689569795</c:v>
                </c:pt>
                <c:pt idx="15">
                  <c:v>0.73297575511058544</c:v>
                </c:pt>
                <c:pt idx="16">
                  <c:v>0.71609486916804854</c:v>
                </c:pt>
                <c:pt idx="17">
                  <c:v>0.7012855996917009</c:v>
                </c:pt>
                <c:pt idx="18">
                  <c:v>0.68825200147208698</c:v>
                </c:pt>
                <c:pt idx="19">
                  <c:v>0.67675193751965224</c:v>
                </c:pt>
                <c:pt idx="20">
                  <c:v>0.66658538162563397</c:v>
                </c:pt>
                <c:pt idx="21">
                  <c:v>0.65758564528273034</c:v>
                </c:pt>
              </c:numCache>
            </c:numRef>
          </c:yVal>
          <c:smooth val="0"/>
          <c:extLst>
            <c:ext xmlns:c15="http://schemas.microsoft.com/office/drawing/2012/chart" uri="{02D57815-91ED-43cb-92C2-25804820EDAC}">
              <c15:datalabelsRange>
                <c15:f>Performance!$C$79:$N$79</c15:f>
                <c15:dlblRangeCache>
                  <c:ptCount val="12"/>
                  <c:pt idx="9">
                    <c:v>SEP @1g [ft/sec]</c:v>
                  </c:pt>
                </c15:dlblRangeCache>
              </c15:datalabelsRange>
            </c:ext>
          </c:extLst>
        </c:ser>
        <c:ser>
          <c:idx val="4"/>
          <c:order val="4"/>
          <c:spPr>
            <a:ln w="3175">
              <a:solidFill>
                <a:srgbClr val="FF00FF"/>
              </a:solidFill>
              <a:prstDash val="solid"/>
            </a:ln>
          </c:spPr>
          <c:marker>
            <c:symbol val="none"/>
          </c:marker>
          <c:dLbls>
            <c:dLbl>
              <c:idx val="0"/>
              <c:tx>
                <c:strRef>
                  <c:f>Performance!$A$80</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{B6DC5522-32EC-4455-B197-302FDDF6291F}</c15:txfldGUID>
                      <c15:f>Performance!$A$80</c15:f>
                      <c15:dlblFieldTableCache>
                        <c:ptCount val="1"/>
                      </c15:dlblFieldTableCache>
                    </c15:dlblFTEntry>
                  </c15:dlblFieldTable>
                  <c15:showDataLabelsRange val="1"/>
                </c:ext>
              </c:extLst>
            </c:dLbl>
            <c:dLbl>
              <c:idx val="1"/>
              <c:tx>
                <c:rich>
                  <a:bodyPr/>
                  <a:lstStyle/>
                  <a:p>
                    <a:pPr>
                      <a:defRPr sz="1000" b="0" i="0" u="none" strike="noStrike" baseline="0">
                        <a:solidFill>
                          <a:srgbClr val="000000"/>
                        </a:solidFill>
                        <a:latin typeface="Arial"/>
                        <a:ea typeface="Arial"/>
                        <a:cs typeface="Arial"/>
                      </a:defRPr>
                    </a:pPr>
                    <a:fld id="{880C412E-FE02-4F5F-8D15-B9095E9F1322}" type="CELLRANGE">
                      <a:rPr lang="en-US"/>
                      <a:pPr>
                        <a:defRPr sz="1000" b="0" i="0" u="none" strike="noStrike" baseline="0">
                          <a:solidFill>
                            <a:srgbClr val="000000"/>
                          </a:solidFill>
                          <a:latin typeface="Arial"/>
                          <a:ea typeface="Arial"/>
                          <a:cs typeface="Arial"/>
                        </a:defRPr>
                      </a:pPr>
                      <a:t>[CELLRANGE]</a:t>
                    </a:fld>
                    <a:endParaRPr lang="en-US"/>
                  </a:p>
                </c:rich>
              </c:tx>
              <c:spPr>
                <a:noFill/>
                <a:ln w="25400">
                  <a:noFill/>
                </a:ln>
              </c:spPr>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Lst>
            </c:dLbl>
            <c:dLbl>
              <c:idx val="2"/>
              <c:tx>
                <c:rich>
                  <a:bodyPr/>
                  <a:lstStyle/>
                  <a:p>
                    <a:pPr>
                      <a:defRPr sz="1000" b="0" i="0" u="none" strike="noStrike" baseline="0">
                        <a:solidFill>
                          <a:srgbClr val="000000"/>
                        </a:solidFill>
                        <a:latin typeface="Arial"/>
                        <a:ea typeface="Arial"/>
                        <a:cs typeface="Arial"/>
                      </a:defRPr>
                    </a:pPr>
                    <a:fld id="{4ACA653A-0CFA-46E7-BAC1-95F888235C7A}" type="CELLRANGE">
                      <a:rPr lang="en-US"/>
                      <a:pPr>
                        <a:defRPr sz="1000" b="0" i="0" u="none" strike="noStrike" baseline="0">
                          <a:solidFill>
                            <a:srgbClr val="000000"/>
                          </a:solidFill>
                          <a:latin typeface="Arial"/>
                          <a:ea typeface="Arial"/>
                          <a:cs typeface="Arial"/>
                        </a:defRPr>
                      </a:pPr>
                      <a:t>[CELLRANGE]</a:t>
                    </a:fld>
                    <a:endParaRPr lang="en-US"/>
                  </a:p>
                </c:rich>
              </c:tx>
              <c:spPr>
                <a:noFill/>
                <a:ln w="25400">
                  <a:noFill/>
                </a:ln>
              </c:spPr>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Lst>
            </c:dLbl>
            <c:dLbl>
              <c:idx val="3"/>
              <c:tx>
                <c:strRef>
                  <c:f>Performance!$V$80</c:f>
                  <c:strCache>
                    <c:ptCount val="1"/>
                    <c:pt idx="0">
                      <c:v>SEP @5g [ft/sec]</c:v>
                    </c:pt>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{59CE7B56-DDA1-40F5-9442-204CADB0CD51}</c15:txfldGUID>
                      <c15:f>Performance!$V$80</c15:f>
                      <c15:dlblFieldTableCache>
                        <c:ptCount val="1"/>
                        <c:pt idx="0">
                          <c:v>SEP @5g [ft/sec]</c:v>
                        </c:pt>
                      </c15:dlblFieldTableCache>
                    </c15:dlblFTEntry>
                  </c15:dlblFieldTable>
                  <c15:showDataLabelsRange val="1"/>
                </c:ext>
              </c:extLst>
            </c:dLbl>
            <c:dLbl>
              <c:idx val="4"/>
              <c:tx>
                <c:rich>
                  <a:bodyPr/>
                  <a:lstStyle/>
                  <a:p>
                    <a:fld id="{EF42C0A9-857A-4621-ABFC-13BA9D725376}"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Lst>
            </c:dLbl>
            <c:dLbl>
              <c:idx val="5"/>
              <c:tx>
                <c:rich>
                  <a:bodyPr/>
                  <a:lstStyle/>
                  <a:p>
                    <a:fld id="{F1E085E2-8587-4E39-BE60-09FD4B389B0C}"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Lst>
            </c:dLbl>
            <c:dLbl>
              <c:idx val="6"/>
              <c:tx>
                <c:rich>
                  <a:bodyPr/>
                  <a:lstStyle/>
                  <a:p>
                    <a:fld id="{CCB69271-AFF1-4655-839A-D4CBC798EEB0}"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Lst>
            </c:dLbl>
            <c:dLbl>
              <c:idx val="7"/>
              <c:tx>
                <c:rich>
                  <a:bodyPr/>
                  <a:lstStyle/>
                  <a:p>
                    <a:fld id="{ACF7C679-5940-4468-B80E-C06C7068BD45}"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Lst>
            </c:dLbl>
            <c:dLbl>
              <c:idx val="8"/>
              <c:tx>
                <c:rich>
                  <a:bodyPr/>
                  <a:lstStyle/>
                  <a:p>
                    <a:fld id="{A10F799D-595C-4066-B1EE-94898C7EBC00}"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Lst>
            </c:dLbl>
            <c:dLbl>
              <c:idx val="9"/>
              <c:tx>
                <c:rich>
                  <a:bodyPr/>
                  <a:lstStyle/>
                  <a:p>
                    <a:fld id="{CCBE09C9-BF17-4C07-BF8C-CBBFB2444331}"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Lst>
            </c:dLbl>
            <c:dLbl>
              <c:idx val="1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Lst>
            </c:dLbl>
            <c:dLbl>
              <c:idx val="1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Lst>
            </c:dLbl>
            <c:dLbl>
              <c:idx val="1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Lst>
            </c:dLbl>
            <c:dLbl>
              <c:idx val="1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Lst>
            </c:dLbl>
            <c:dLbl>
              <c:idx val="1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Lst>
            </c:dLbl>
            <c:dLbl>
              <c:idx val="1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Lst>
            </c:dLbl>
            <c:dLbl>
              <c:idx val="1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Lst>
            </c:dLbl>
            <c:dLbl>
              <c:idx val="1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Lst>
            </c:dLbl>
            <c:dLbl>
              <c:idx val="1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Lst>
            </c:dLbl>
            <c:dLbl>
              <c:idx val="1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Lst>
            </c:dLbl>
            <c:dLbl>
              <c:idx val="2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Lst>
            </c:dLbl>
            <c:dLbl>
              <c:idx val="2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Lst>
            </c:dLbl>
            <c:spPr>
              <a:noFill/>
              <a:ln>
                <a:noFill/>
              </a:ln>
              <a:effectLst/>
            </c:sp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Performance!$C$48:$AB$48</c:f>
              <c:numCache>
                <c:formatCode>General</c:formatCode>
                <c:ptCount val="26"/>
                <c:pt idx="0">
                  <c:v>15</c:v>
                </c:pt>
                <c:pt idx="1">
                  <c:v>20</c:v>
                </c:pt>
                <c:pt idx="2">
                  <c:v>25</c:v>
                </c:pt>
                <c:pt idx="3">
                  <c:v>30</c:v>
                </c:pt>
                <c:pt idx="4">
                  <c:v>35</c:v>
                </c:pt>
                <c:pt idx="5">
                  <c:v>40</c:v>
                </c:pt>
                <c:pt idx="6">
                  <c:v>45</c:v>
                </c:pt>
                <c:pt idx="7">
                  <c:v>50</c:v>
                </c:pt>
                <c:pt idx="8">
                  <c:v>55</c:v>
                </c:pt>
                <c:pt idx="9">
                  <c:v>60</c:v>
                </c:pt>
                <c:pt idx="10">
                  <c:v>65</c:v>
                </c:pt>
                <c:pt idx="11">
                  <c:v>70</c:v>
                </c:pt>
                <c:pt idx="12">
                  <c:v>75</c:v>
                </c:pt>
                <c:pt idx="13">
                  <c:v>80</c:v>
                </c:pt>
                <c:pt idx="14">
                  <c:v>85</c:v>
                </c:pt>
                <c:pt idx="15">
                  <c:v>90</c:v>
                </c:pt>
                <c:pt idx="16">
                  <c:v>95</c:v>
                </c:pt>
                <c:pt idx="17">
                  <c:v>100</c:v>
                </c:pt>
                <c:pt idx="18">
                  <c:v>105</c:v>
                </c:pt>
                <c:pt idx="19">
                  <c:v>110</c:v>
                </c:pt>
                <c:pt idx="20">
                  <c:v>115</c:v>
                </c:pt>
                <c:pt idx="21">
                  <c:v>120</c:v>
                </c:pt>
                <c:pt idx="22">
                  <c:v>105.84205150857743</c:v>
                </c:pt>
                <c:pt idx="23">
                  <c:v>105.84205150857743</c:v>
                </c:pt>
                <c:pt idx="24">
                  <c:v>87.468250794658715</c:v>
                </c:pt>
                <c:pt idx="25">
                  <c:v>87.468250794658715</c:v>
                </c:pt>
              </c:numCache>
            </c:numRef>
          </c:xVal>
          <c:yVal>
            <c:numRef>
              <c:f>Performance!$C$62:$X$62</c:f>
              <c:numCache>
                <c:formatCode>General</c:formatCode>
                <c:ptCount val="22"/>
                <c:pt idx="0">
                  <c:v>3.4416553330731658</c:v>
                </c:pt>
                <c:pt idx="1">
                  <c:v>2.7660072064475276</c:v>
                </c:pt>
                <c:pt idx="2">
                  <c:v>2.3907689940643433</c:v>
                </c:pt>
                <c:pt idx="3">
                  <c:v>2.1657357388023848</c:v>
                </c:pt>
                <c:pt idx="4">
                  <c:v>2.0265338876096992</c:v>
                </c:pt>
                <c:pt idx="5">
                  <c:v>1.9409766639603079</c:v>
                </c:pt>
                <c:pt idx="6">
                  <c:v>1.8911825253397809</c:v>
                </c:pt>
                <c:pt idx="7">
                  <c:v>1.8664225462394592</c:v>
                </c:pt>
                <c:pt idx="8">
                  <c:v>1.8598692286083756</c:v>
                </c:pt>
                <c:pt idx="9">
                  <c:v>1.8669709070792222</c:v>
                </c:pt>
                <c:pt idx="10">
                  <c:v>1.8845764287053994</c:v>
                </c:pt>
                <c:pt idx="11">
                  <c:v>1.9104349699536223</c:v>
                </c:pt>
                <c:pt idx="12">
                  <c:v>1.9428959268994812</c:v>
                </c:pt>
                <c:pt idx="13">
                  <c:v>1.9807213465996691</c:v>
                </c:pt>
                <c:pt idx="14">
                  <c:v>2.0229645591563647</c:v>
                </c:pt>
                <c:pt idx="15">
                  <c:v>2.0688892657601485</c:v>
                </c:pt>
                <c:pt idx="16">
                  <c:v>2.1179141778772705</c:v>
                </c:pt>
                <c:pt idx="17">
                  <c:v>2.1695742646807306</c:v>
                </c:pt>
                <c:pt idx="18">
                  <c:v>2.2234930726439068</c:v>
                </c:pt>
                <c:pt idx="19">
                  <c:v>2.279362594335931</c:v>
                </c:pt>
                <c:pt idx="20">
                  <c:v>2.336928388835648</c:v>
                </c:pt>
                <c:pt idx="21">
                  <c:v>2.3959784220420972</c:v>
                </c:pt>
              </c:numCache>
            </c:numRef>
          </c:yVal>
          <c:smooth val="0"/>
          <c:extLst>
            <c:ext xmlns:c15="http://schemas.microsoft.com/office/drawing/2012/chart" uri="{02D57815-91ED-43cb-92C2-25804820EDAC}">
              <c15:datalabelsRange>
                <c15:f>Performance!$C$84:$L$84</c15:f>
                <c15:dlblRangeCache>
                  <c:ptCount val="10"/>
                  <c:pt idx="9">
                    <c:v>Sustained load factor [g]</c:v>
                  </c:pt>
                </c15:dlblRangeCache>
              </c15:datalabelsRange>
            </c:ext>
          </c:extLst>
        </c:ser>
        <c:ser>
          <c:idx val="5"/>
          <c:order val="5"/>
          <c:spPr>
            <a:ln w="12700">
              <a:solidFill>
                <a:schemeClr val="accent6">
                  <a:lumMod val="50000"/>
                </a:schemeClr>
              </a:solidFill>
              <a:prstDash val="solid"/>
            </a:ln>
          </c:spPr>
          <c:marker>
            <c:symbol val="none"/>
          </c:marker>
          <c:dLbls>
            <c:dLbl>
              <c:idx val="0"/>
              <c:tx>
                <c:strRef>
                  <c:f>Performance!$A$81</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{75D88C3B-1569-48C8-A48C-349378AFD341}</c15:txfldGUID>
                      <c15:f>Performance!$A$81</c15:f>
                      <c15:dlblFieldTableCache>
                        <c:ptCount val="1"/>
                      </c15:dlblFieldTableCache>
                    </c15:dlblFTEntry>
                  </c15:dlblFieldTable>
                  <c15:showDataLabelsRange val="1"/>
                </c:ext>
              </c:extLst>
            </c:dLbl>
            <c:dLbl>
              <c:idx val="1"/>
              <c:tx>
                <c:rich>
                  <a:bodyPr/>
                  <a:lstStyle/>
                  <a:p>
                    <a:pPr>
                      <a:defRPr sz="1000" b="0" i="0" u="none" strike="noStrike" baseline="0">
                        <a:solidFill>
                          <a:srgbClr val="000000"/>
                        </a:solidFill>
                        <a:latin typeface="Arial"/>
                        <a:ea typeface="Arial"/>
                        <a:cs typeface="Arial"/>
                      </a:defRPr>
                    </a:pPr>
                    <a:fld id="{1A185F91-4ED4-4978-89C0-F4CFD3E5EB98}" type="CELLRANGE">
                      <a:rPr lang="en-US"/>
                      <a:pPr>
                        <a:defRPr sz="1000" b="0" i="0" u="none" strike="noStrike" baseline="0">
                          <a:solidFill>
                            <a:srgbClr val="000000"/>
                          </a:solidFill>
                          <a:latin typeface="Arial"/>
                          <a:ea typeface="Arial"/>
                          <a:cs typeface="Arial"/>
                        </a:defRPr>
                      </a:pPr>
                      <a:t>[CELLRANGE]</a:t>
                    </a:fld>
                    <a:endParaRPr lang="en-US"/>
                  </a:p>
                </c:rich>
              </c:tx>
              <c:spPr>
                <a:noFill/>
                <a:ln w="25400">
                  <a:noFill/>
                </a:ln>
              </c:spPr>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Lst>
            </c:dLbl>
            <c:dLbl>
              <c:idx val="2"/>
              <c:tx>
                <c:rich>
                  <a:bodyPr/>
                  <a:lstStyle/>
                  <a:p>
                    <a:pPr>
                      <a:defRPr sz="1000" b="0" i="0" u="none" strike="noStrike" baseline="0">
                        <a:solidFill>
                          <a:srgbClr val="000000"/>
                        </a:solidFill>
                        <a:latin typeface="Arial"/>
                        <a:ea typeface="Arial"/>
                        <a:cs typeface="Arial"/>
                      </a:defRPr>
                    </a:pPr>
                    <a:fld id="{8DDA6A6E-4FFC-4DD8-B3C4-2F488CC9D775}" type="CELLRANGE">
                      <a:rPr lang="en-US"/>
                      <a:pPr>
                        <a:defRPr sz="1000" b="0" i="0" u="none" strike="noStrike" baseline="0">
                          <a:solidFill>
                            <a:srgbClr val="000000"/>
                          </a:solidFill>
                          <a:latin typeface="Arial"/>
                          <a:ea typeface="Arial"/>
                          <a:cs typeface="Arial"/>
                        </a:defRPr>
                      </a:pPr>
                      <a:t>[CELLRANGE]</a:t>
                    </a:fld>
                    <a:endParaRPr lang="en-US"/>
                  </a:p>
                </c:rich>
              </c:tx>
              <c:spPr>
                <a:noFill/>
                <a:ln w="25400">
                  <a:noFill/>
                </a:ln>
              </c:spPr>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Lst>
            </c:dLbl>
            <c:dLbl>
              <c:idx val="3"/>
              <c:tx>
                <c:rich>
                  <a:bodyPr/>
                  <a:lstStyle/>
                  <a:p>
                    <a:pPr>
                      <a:defRPr sz="1000" b="0" i="0" u="none" strike="noStrike" baseline="0">
                        <a:solidFill>
                          <a:srgbClr val="000000"/>
                        </a:solidFill>
                        <a:latin typeface="Arial"/>
                        <a:ea typeface="Arial"/>
                        <a:cs typeface="Arial"/>
                      </a:defRPr>
                    </a:pPr>
                    <a:fld id="{2C07A344-B462-42FF-A77E-F092A1690E42}" type="CELLRANGE">
                      <a:rPr lang="en-US"/>
                      <a:pPr>
                        <a:defRPr sz="1000" b="0" i="0" u="none" strike="noStrike" baseline="0">
                          <a:solidFill>
                            <a:srgbClr val="000000"/>
                          </a:solidFill>
                          <a:latin typeface="Arial"/>
                          <a:ea typeface="Arial"/>
                          <a:cs typeface="Arial"/>
                        </a:defRPr>
                      </a:pPr>
                      <a:t>[CELLRANGE]</a:t>
                    </a:fld>
                    <a:endParaRPr lang="en-US"/>
                  </a:p>
                </c:rich>
              </c:tx>
              <c:spPr>
                <a:noFill/>
                <a:ln w="25400">
                  <a:noFill/>
                </a:ln>
              </c:spPr>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Lst>
            </c:dLbl>
            <c:dLbl>
              <c:idx val="4"/>
              <c:tx>
                <c:rich>
                  <a:bodyPr/>
                  <a:lstStyle/>
                  <a:p>
                    <a:pPr>
                      <a:defRPr sz="1000" b="0" i="0" u="none" strike="noStrike" baseline="0">
                        <a:solidFill>
                          <a:srgbClr val="000000"/>
                        </a:solidFill>
                        <a:latin typeface="Arial"/>
                        <a:ea typeface="Arial"/>
                        <a:cs typeface="Arial"/>
                      </a:defRPr>
                    </a:pPr>
                    <a:fld id="{C90DE838-4293-4A8F-A9E1-76D9000C1E56}" type="CELLRANGE">
                      <a:rPr lang="en-US"/>
                      <a:pPr>
                        <a:defRPr sz="1000" b="0" i="0" u="none" strike="noStrike" baseline="0">
                          <a:solidFill>
                            <a:srgbClr val="000000"/>
                          </a:solidFill>
                          <a:latin typeface="Arial"/>
                          <a:ea typeface="Arial"/>
                          <a:cs typeface="Arial"/>
                        </a:defRPr>
                      </a:pPr>
                      <a:t>[CELLRANGE]</a:t>
                    </a:fld>
                    <a:endParaRPr lang="en-US"/>
                  </a:p>
                </c:rich>
              </c:tx>
              <c:spPr>
                <a:noFill/>
                <a:ln w="25400">
                  <a:noFill/>
                </a:ln>
              </c:spPr>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Lst>
            </c:dLbl>
            <c:dLbl>
              <c:idx val="5"/>
              <c:tx>
                <c:strRef>
                  <c:f>Performance!#REF!</c:f>
                  <c:strCache>
                    <c:ptCount val="1"/>
                    <c:pt idx="0">
                      <c:v>#REF!</c:v>
                    </c:pt>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{B4920A8E-FA7F-4E33-BD50-72ACFE4979B9}</c15:txfldGUID>
                      <c15:f>Performance!#REF!</c15:f>
                      <c15:dlblFieldTableCache>
                        <c:ptCount val="1"/>
                        <c:pt idx="0">
                          <c:v>#REF!</c:v>
                        </c:pt>
                      </c15:dlblFieldTableCache>
                    </c15:dlblFTEntry>
                  </c15:dlblFieldTable>
                  <c15:showDataLabelsRange val="1"/>
                </c:ext>
              </c:extLst>
            </c:dLbl>
            <c:dLbl>
              <c:idx val="6"/>
              <c:tx>
                <c:rich>
                  <a:bodyPr/>
                  <a:lstStyle/>
                  <a:p>
                    <a:pPr>
                      <a:defRPr sz="1000" b="0" i="0" u="none" strike="noStrike" baseline="0">
                        <a:solidFill>
                          <a:srgbClr val="000000"/>
                        </a:solidFill>
                        <a:latin typeface="Arial"/>
                        <a:ea typeface="Arial"/>
                        <a:cs typeface="Arial"/>
                      </a:defRPr>
                    </a:pPr>
                    <a:fld id="{A2150358-9F8A-4E36-974F-1EAE4268BA2B}" type="CELLRANGE">
                      <a:rPr lang="en-US"/>
                      <a:pPr>
                        <a:defRPr sz="1000" b="0" i="0" u="none" strike="noStrike" baseline="0">
                          <a:solidFill>
                            <a:srgbClr val="000000"/>
                          </a:solidFill>
                          <a:latin typeface="Arial"/>
                          <a:ea typeface="Arial"/>
                          <a:cs typeface="Arial"/>
                        </a:defRPr>
                      </a:pPr>
                      <a:t>[CELLRANGE]</a:t>
                    </a:fld>
                    <a:endParaRPr lang="en-US"/>
                  </a:p>
                </c:rich>
              </c:tx>
              <c:spPr>
                <a:noFill/>
                <a:ln w="25400">
                  <a:noFill/>
                </a:ln>
              </c:spPr>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Lst>
            </c:dLbl>
            <c:dLbl>
              <c:idx val="7"/>
              <c:tx>
                <c:rich>
                  <a:bodyPr/>
                  <a:lstStyle/>
                  <a:p>
                    <a:pPr>
                      <a:defRPr sz="1000" b="0" i="0" u="none" strike="noStrike" baseline="0">
                        <a:solidFill>
                          <a:srgbClr val="000000"/>
                        </a:solidFill>
                        <a:latin typeface="Arial"/>
                        <a:ea typeface="Arial"/>
                        <a:cs typeface="Arial"/>
                      </a:defRPr>
                    </a:pPr>
                    <a:fld id="{C25E69F9-AD1F-4119-AB9A-6AAB2C761899}" type="CELLRANGE">
                      <a:rPr lang="en-US"/>
                      <a:pPr>
                        <a:defRPr sz="1000" b="0" i="0" u="none" strike="noStrike" baseline="0">
                          <a:solidFill>
                            <a:srgbClr val="000000"/>
                          </a:solidFill>
                          <a:latin typeface="Arial"/>
                          <a:ea typeface="Arial"/>
                          <a:cs typeface="Arial"/>
                        </a:defRPr>
                      </a:pPr>
                      <a:t>[CELLRANGE]</a:t>
                    </a:fld>
                    <a:endParaRPr lang="en-US"/>
                  </a:p>
                </c:rich>
              </c:tx>
              <c:spPr>
                <a:noFill/>
                <a:ln w="25400">
                  <a:noFill/>
                </a:ln>
              </c:spPr>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Lst>
            </c:dLbl>
            <c:dLbl>
              <c:idx val="8"/>
              <c:tx>
                <c:rich>
                  <a:bodyPr/>
                  <a:lstStyle/>
                  <a:p>
                    <a:pPr>
                      <a:defRPr sz="1000" b="0" i="0" u="none" strike="noStrike" baseline="0">
                        <a:solidFill>
                          <a:srgbClr val="000000"/>
                        </a:solidFill>
                        <a:latin typeface="Arial"/>
                        <a:ea typeface="Arial"/>
                        <a:cs typeface="Arial"/>
                      </a:defRPr>
                    </a:pPr>
                    <a:fld id="{97F2DD90-C0DF-4695-B22B-39CD44C9D298}" type="CELLRANGE">
                      <a:rPr lang="en-US"/>
                      <a:pPr>
                        <a:defRPr sz="1000" b="0" i="0" u="none" strike="noStrike" baseline="0">
                          <a:solidFill>
                            <a:srgbClr val="000000"/>
                          </a:solidFill>
                          <a:latin typeface="Arial"/>
                          <a:ea typeface="Arial"/>
                          <a:cs typeface="Arial"/>
                        </a:defRPr>
                      </a:pPr>
                      <a:t>[CELLRANGE]</a:t>
                    </a:fld>
                    <a:endParaRPr lang="en-US"/>
                  </a:p>
                </c:rich>
              </c:tx>
              <c:spPr>
                <a:noFill/>
                <a:ln w="25400">
                  <a:noFill/>
                </a:ln>
              </c:spPr>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Lst>
            </c:dLbl>
            <c:dLbl>
              <c:idx val="9"/>
              <c:tx>
                <c:strRef>
                  <c:f>Performance!$F$81</c:f>
                  <c:strCache>
                    <c:ptCount val="1"/>
                    <c:pt idx="0">
                      <c:v>Cruise Mach req'm't</c:v>
                    </c:pt>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{7F69132F-7465-4457-B148-93CF6F02DF77}</c15:txfldGUID>
                      <c15:f>Performance!$F$81</c15:f>
                      <c15:dlblFieldTableCache>
                        <c:ptCount val="1"/>
                        <c:pt idx="0">
                          <c:v>Cruise Mach req'm't</c:v>
                        </c:pt>
                      </c15:dlblFieldTableCache>
                    </c15:dlblFTEntry>
                  </c15:dlblFieldTable>
                  <c15:showDataLabelsRange val="1"/>
                </c:ext>
              </c:extLst>
            </c:dLbl>
            <c:dLbl>
              <c:idx val="10"/>
              <c:tx>
                <c:rich>
                  <a:bodyPr/>
                  <a:lstStyle/>
                  <a:p>
                    <a:fld id="{C01C701D-9327-493E-94B0-09CB8D7690A7}"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Lst>
            </c:dLbl>
            <c:dLbl>
              <c:idx val="11"/>
              <c:tx>
                <c:rich>
                  <a:bodyPr/>
                  <a:lstStyle/>
                  <a:p>
                    <a:fld id="{A93D422B-0A48-439F-BDD7-7CCCE260D5AE}"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Lst>
            </c:dLbl>
            <c:dLbl>
              <c:idx val="12"/>
              <c:tx>
                <c:rich>
                  <a:bodyPr/>
                  <a:lstStyle/>
                  <a:p>
                    <a:fld id="{DEAE4B16-CDC2-406F-BDE4-384CE0A0A956}"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Lst>
            </c:dLbl>
            <c:dLbl>
              <c:idx val="13"/>
              <c:tx>
                <c:rich>
                  <a:bodyPr/>
                  <a:lstStyle/>
                  <a:p>
                    <a:fld id="{83577E38-D53F-4A5A-A43C-17D2169CAA0F}"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Lst>
            </c:dLbl>
            <c:dLbl>
              <c:idx val="14"/>
              <c:tx>
                <c:rich>
                  <a:bodyPr/>
                  <a:lstStyle/>
                  <a:p>
                    <a:fld id="{A01F29BB-056A-46AB-91B1-ADEF2979355D}"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Lst>
            </c:dLbl>
            <c:dLbl>
              <c:idx val="15"/>
              <c:tx>
                <c:rich>
                  <a:bodyPr/>
                  <a:lstStyle/>
                  <a:p>
                    <a:fld id="{9F5BA22B-CB98-4856-841E-8260624229C1}"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Lst>
            </c:dLbl>
            <c:dLbl>
              <c:idx val="16"/>
              <c:tx>
                <c:rich>
                  <a:bodyPr/>
                  <a:lstStyle/>
                  <a:p>
                    <a:fld id="{9AFA8839-DE21-4730-B84E-9DDBDF6C0A1B}"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Lst>
            </c:dLbl>
            <c:dLbl>
              <c:idx val="17"/>
              <c:tx>
                <c:rich>
                  <a:bodyPr/>
                  <a:lstStyle/>
                  <a:p>
                    <a:fld id="{FB306C96-EDB6-4538-A0A7-166D4A3E1AD9}"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Lst>
            </c:dLbl>
            <c:dLbl>
              <c:idx val="18"/>
              <c:tx>
                <c:rich>
                  <a:bodyPr/>
                  <a:lstStyle/>
                  <a:p>
                    <a:fld id="{4ABEBDF9-D50A-4A87-A268-D681F3082544}"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Lst>
            </c:dLbl>
            <c:dLbl>
              <c:idx val="19"/>
              <c:tx>
                <c:rich>
                  <a:bodyPr/>
                  <a:lstStyle/>
                  <a:p>
                    <a:fld id="{8819D7BE-40D6-4640-A941-5F5CAF200581}"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Lst>
            </c:dLbl>
            <c:dLbl>
              <c:idx val="2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Lst>
            </c:dLbl>
            <c:dLbl>
              <c:idx val="2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Lst>
            </c:dLbl>
            <c:spPr>
              <a:noFill/>
              <a:ln>
                <a:noFill/>
              </a:ln>
              <a:effectLst/>
            </c:sp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Performance!$C$48:$AB$48</c:f>
              <c:numCache>
                <c:formatCode>General</c:formatCode>
                <c:ptCount val="26"/>
                <c:pt idx="0">
                  <c:v>15</c:v>
                </c:pt>
                <c:pt idx="1">
                  <c:v>20</c:v>
                </c:pt>
                <c:pt idx="2">
                  <c:v>25</c:v>
                </c:pt>
                <c:pt idx="3">
                  <c:v>30</c:v>
                </c:pt>
                <c:pt idx="4">
                  <c:v>35</c:v>
                </c:pt>
                <c:pt idx="5">
                  <c:v>40</c:v>
                </c:pt>
                <c:pt idx="6">
                  <c:v>45</c:v>
                </c:pt>
                <c:pt idx="7">
                  <c:v>50</c:v>
                </c:pt>
                <c:pt idx="8">
                  <c:v>55</c:v>
                </c:pt>
                <c:pt idx="9">
                  <c:v>60</c:v>
                </c:pt>
                <c:pt idx="10">
                  <c:v>65</c:v>
                </c:pt>
                <c:pt idx="11">
                  <c:v>70</c:v>
                </c:pt>
                <c:pt idx="12">
                  <c:v>75</c:v>
                </c:pt>
                <c:pt idx="13">
                  <c:v>80</c:v>
                </c:pt>
                <c:pt idx="14">
                  <c:v>85</c:v>
                </c:pt>
                <c:pt idx="15">
                  <c:v>90</c:v>
                </c:pt>
                <c:pt idx="16">
                  <c:v>95</c:v>
                </c:pt>
                <c:pt idx="17">
                  <c:v>100</c:v>
                </c:pt>
                <c:pt idx="18">
                  <c:v>105</c:v>
                </c:pt>
                <c:pt idx="19">
                  <c:v>110</c:v>
                </c:pt>
                <c:pt idx="20">
                  <c:v>115</c:v>
                </c:pt>
                <c:pt idx="21">
                  <c:v>120</c:v>
                </c:pt>
                <c:pt idx="22">
                  <c:v>105.84205150857743</c:v>
                </c:pt>
                <c:pt idx="23">
                  <c:v>105.84205150857743</c:v>
                </c:pt>
                <c:pt idx="24">
                  <c:v>87.468250794658715</c:v>
                </c:pt>
                <c:pt idx="25">
                  <c:v>87.468250794658715</c:v>
                </c:pt>
              </c:numCache>
            </c:numRef>
          </c:xVal>
          <c:yVal>
            <c:numRef>
              <c:f>Performance!$C$58:$X$58</c:f>
              <c:numCache>
                <c:formatCode>General</c:formatCode>
                <c:ptCount val="22"/>
                <c:pt idx="0">
                  <c:v>0.81080210779008022</c:v>
                </c:pt>
                <c:pt idx="1">
                  <c:v>0.61136595305221941</c:v>
                </c:pt>
                <c:pt idx="2">
                  <c:v>0.49245040242885368</c:v>
                </c:pt>
                <c:pt idx="3">
                  <c:v>0.41379515386273541</c:v>
                </c:pt>
                <c:pt idx="4">
                  <c:v>0.35814579218647297</c:v>
                </c:pt>
                <c:pt idx="5">
                  <c:v>0.31687510981637018</c:v>
                </c:pt>
                <c:pt idx="6">
                  <c:v>0.28519021365037406</c:v>
                </c:pt>
                <c:pt idx="7">
                  <c:v>0.26021536782725235</c:v>
                </c:pt>
                <c:pt idx="8">
                  <c:v>0.24012055861713053</c:v>
                </c:pt>
                <c:pt idx="9">
                  <c:v>0.22368577686675833</c:v>
                </c:pt>
                <c:pt idx="10">
                  <c:v>0.21006640085465533</c:v>
                </c:pt>
                <c:pt idx="11">
                  <c:v>0.1986591293511922</c:v>
                </c:pt>
                <c:pt idx="12">
                  <c:v>0.18902154145464109</c:v>
                </c:pt>
                <c:pt idx="13">
                  <c:v>0.18082182148870596</c:v>
                </c:pt>
                <c:pt idx="14">
                  <c:v>0.17380622805386634</c:v>
                </c:pt>
                <c:pt idx="15">
                  <c:v>0.16777740672827299</c:v>
                </c:pt>
                <c:pt idx="16">
                  <c:v>0.16257955138941332</c:v>
                </c:pt>
                <c:pt idx="17">
                  <c:v>0.15808801713927728</c:v>
                </c:pt>
                <c:pt idx="18">
                  <c:v>0.1542019009651901</c:v>
                </c:pt>
                <c:pt idx="19">
                  <c:v>0.15083864585678147</c:v>
                </c:pt>
                <c:pt idx="20">
                  <c:v>0.147930052544615</c:v>
                </c:pt>
                <c:pt idx="21">
                  <c:v>0.14541928830416048</c:v>
                </c:pt>
              </c:numCache>
            </c:numRef>
          </c:yVal>
          <c:smooth val="0"/>
          <c:extLst>
            <c:ext xmlns:c15="http://schemas.microsoft.com/office/drawing/2012/chart" uri="{02D57815-91ED-43cb-92C2-25804820EDAC}">
              <c15:datalabelsRange>
                <c15:f>Performance!$C$80:$V$80</c15:f>
                <c15:dlblRangeCache>
                  <c:ptCount val="20"/>
                  <c:pt idx="19">
                    <c:v>SEP @5g [ft/sec]</c:v>
                  </c:pt>
                </c15:dlblRangeCache>
              </c15:datalabelsRange>
            </c:ext>
          </c:extLst>
        </c:ser>
        <c:dLbls>
          <c:showLegendKey val="0"/>
          <c:showVal val="0"/>
          <c:showCatName val="0"/>
          <c:showSerName val="0"/>
          <c:showPercent val="0"/>
          <c:showBubbleSize val="0"/>
        </c:dLbls>
        <c:axId val="350372648"/>
        <c:axId val="350373040"/>
      </c:scatterChart>
      <c:valAx>
        <c:axId val="350372648"/>
        <c:scaling>
          <c:orientation val="minMax"/>
          <c:min val="50"/>
        </c:scaling>
        <c:delete val="0"/>
        <c:axPos val="b"/>
        <c:title>
          <c:tx>
            <c:rich>
              <a:bodyPr/>
              <a:lstStyle/>
              <a:p>
                <a:pPr>
                  <a:defRPr sz="1000" b="0" i="0" u="none" strike="noStrike" baseline="0">
                    <a:solidFill>
                      <a:srgbClr val="000000"/>
                    </a:solidFill>
                    <a:latin typeface="Arial"/>
                    <a:ea typeface="Arial"/>
                    <a:cs typeface="Arial"/>
                  </a:defRPr>
                </a:pPr>
                <a:r>
                  <a:rPr lang="en-US"/>
                  <a:t>TAKEOFF WING LOADING, W/S [LB/FT²]</a:t>
                </a:r>
              </a:p>
            </c:rich>
          </c:tx>
          <c:layout>
            <c:manualLayout>
              <c:xMode val="edge"/>
              <c:yMode val="edge"/>
              <c:x val="0.38512763596004462"/>
              <c:y val="0.94453507340946163"/>
            </c:manualLayout>
          </c:layout>
          <c:overlay val="0"/>
          <c:spPr>
            <a:noFill/>
            <a:ln w="25400">
              <a:noFill/>
            </a:ln>
          </c:spPr>
        </c:title>
        <c:numFmt formatCode="General" sourceLinked="1"/>
        <c:majorTickMark val="in"/>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50373040"/>
        <c:crosses val="autoZero"/>
        <c:crossBetween val="midCat"/>
      </c:valAx>
      <c:valAx>
        <c:axId val="350373040"/>
        <c:scaling>
          <c:orientation val="minMax"/>
        </c:scaling>
        <c:delete val="0"/>
        <c:axPos val="l"/>
        <c:title>
          <c:tx>
            <c:rich>
              <a:bodyPr/>
              <a:lstStyle/>
              <a:p>
                <a:pPr>
                  <a:defRPr sz="1000" b="0" i="0" u="none" strike="noStrike" baseline="0">
                    <a:solidFill>
                      <a:srgbClr val="000000"/>
                    </a:solidFill>
                    <a:latin typeface="Arial"/>
                    <a:ea typeface="Arial"/>
                    <a:cs typeface="Arial"/>
                  </a:defRPr>
                </a:pPr>
                <a:r>
                  <a:rPr lang="en-US"/>
                  <a:t>TAKEOFF THRUST/WEIGHT RATIO</a:t>
                </a:r>
              </a:p>
            </c:rich>
          </c:tx>
          <c:layout>
            <c:manualLayout>
              <c:xMode val="edge"/>
              <c:yMode val="edge"/>
              <c:x val="1.2208657047724751E-2"/>
              <c:y val="0.3425774877650898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50372648"/>
        <c:crosses val="autoZero"/>
        <c:crossBetween val="midCat"/>
      </c:valAx>
      <c:spPr>
        <a:noFill/>
        <a:ln w="25400">
          <a:noFill/>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n-US"/>
              <a:t>THRUST/WEIGHT VERSUS WING LOADING
CIVIL REQUIREMENTS</a:t>
            </a:r>
          </a:p>
        </c:rich>
      </c:tx>
      <c:layout>
        <c:manualLayout>
          <c:xMode val="edge"/>
          <c:yMode val="edge"/>
          <c:x val="0.35183129855715872"/>
          <c:y val="1.9575856443719418E-2"/>
        </c:manualLayout>
      </c:layout>
      <c:overlay val="0"/>
      <c:spPr>
        <a:noFill/>
        <a:ln w="25400">
          <a:noFill/>
        </a:ln>
      </c:spPr>
    </c:title>
    <c:autoTitleDeleted val="0"/>
    <c:plotArea>
      <c:layout>
        <c:manualLayout>
          <c:layoutTarget val="inner"/>
          <c:xMode val="edge"/>
          <c:yMode val="edge"/>
          <c:x val="7.1032186459489471E-2"/>
          <c:y val="0.14029363784665586"/>
          <c:w val="0.90455049944506083"/>
          <c:h val="0.75367047308319801"/>
        </c:manualLayout>
      </c:layout>
      <c:scatterChart>
        <c:scatterStyle val="smoothMarker"/>
        <c:varyColors val="0"/>
        <c:ser>
          <c:idx val="3"/>
          <c:order val="3"/>
          <c:spPr>
            <a:ln w="12700">
              <a:solidFill>
                <a:srgbClr val="FF0000"/>
              </a:solidFill>
              <a:prstDash val="solid"/>
            </a:ln>
          </c:spPr>
          <c:marker>
            <c:symbol val="none"/>
          </c:marker>
          <c:dLbls>
            <c:dLbl>
              <c:idx val="0"/>
              <c:tx>
                <c:rich>
                  <a:bodyPr/>
                  <a:lstStyle/>
                  <a:p>
                    <a:pPr>
                      <a:defRPr sz="1000" b="0" i="0" u="none" strike="noStrike" baseline="0">
                        <a:solidFill>
                          <a:srgbClr val="000000"/>
                        </a:solidFill>
                        <a:latin typeface="Arial"/>
                        <a:ea typeface="Arial"/>
                        <a:cs typeface="Arial"/>
                      </a:defRPr>
                    </a:pPr>
                    <a:fld id="{1CC49770-E00E-4E0F-BD82-A1CF3C87312E}" type="CELLRANGE">
                      <a:rPr lang="en-US"/>
                      <a:pPr>
                        <a:defRPr sz="1000" b="0" i="0" u="none" strike="noStrike" baseline="0">
                          <a:solidFill>
                            <a:srgbClr val="000000"/>
                          </a:solidFill>
                          <a:latin typeface="Arial"/>
                          <a:ea typeface="Arial"/>
                          <a:cs typeface="Arial"/>
                        </a:defRPr>
                      </a:pPr>
                      <a:t>[CELLRANGE]</a:t>
                    </a:fld>
                    <a:endParaRPr lang="en-US"/>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Lst>
            </c:dLbl>
            <c:dLbl>
              <c:idx val="1"/>
              <c:layout/>
              <c:tx>
                <c:rich>
                  <a:bodyPr/>
                  <a:lstStyle/>
                  <a:p>
                    <a:pPr>
                      <a:defRPr sz="1000" b="0" i="0" u="none" strike="noStrike" baseline="0">
                        <a:solidFill>
                          <a:srgbClr val="000000"/>
                        </a:solidFill>
                        <a:latin typeface="Arial"/>
                        <a:ea typeface="Arial"/>
                        <a:cs typeface="Arial"/>
                      </a:defRPr>
                    </a:pPr>
                    <a:fld id="{D5E7A7D6-D25E-4A42-8892-DE5B20000858}" type="CELLRANGE">
                      <a:rPr lang="en-US"/>
                      <a:pPr>
                        <a:defRPr sz="1000" b="0" i="0" u="none" strike="noStrike" baseline="0">
                          <a:solidFill>
                            <a:srgbClr val="000000"/>
                          </a:solidFill>
                          <a:latin typeface="Arial"/>
                          <a:ea typeface="Arial"/>
                          <a:cs typeface="Arial"/>
                        </a:defRPr>
                      </a:pPr>
                      <a:t>[CELLRANGE]</a:t>
                    </a:fld>
                    <a:endParaRPr lang="en-US"/>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2"/>
              <c:layout/>
              <c:tx>
                <c:rich>
                  <a:bodyPr/>
                  <a:lstStyle/>
                  <a:p>
                    <a:pPr>
                      <a:defRPr sz="1000" b="0" i="0" u="none" strike="noStrike" baseline="0">
                        <a:solidFill>
                          <a:srgbClr val="000000"/>
                        </a:solidFill>
                        <a:latin typeface="Arial"/>
                        <a:ea typeface="Arial"/>
                        <a:cs typeface="Arial"/>
                      </a:defRPr>
                    </a:pPr>
                    <a:fld id="{0217BD04-3717-4BFB-A050-FD5823D9F721}" type="CELLRANGE">
                      <a:rPr lang="en-US"/>
                      <a:pPr>
                        <a:defRPr sz="1000" b="0" i="0" u="none" strike="noStrike" baseline="0">
                          <a:solidFill>
                            <a:srgbClr val="000000"/>
                          </a:solidFill>
                          <a:latin typeface="Arial"/>
                          <a:ea typeface="Arial"/>
                          <a:cs typeface="Arial"/>
                        </a:defRPr>
                      </a:pPr>
                      <a:t>[CELLRANGE]</a:t>
                    </a:fld>
                    <a:endParaRPr lang="en-US"/>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3"/>
              <c:layout/>
              <c:tx>
                <c:rich>
                  <a:bodyPr/>
                  <a:lstStyle/>
                  <a:p>
                    <a:pPr>
                      <a:defRPr sz="1000" b="0" i="0" u="none" strike="noStrike" baseline="0">
                        <a:solidFill>
                          <a:srgbClr val="000000"/>
                        </a:solidFill>
                        <a:latin typeface="Arial"/>
                        <a:ea typeface="Arial"/>
                        <a:cs typeface="Arial"/>
                      </a:defRPr>
                    </a:pPr>
                    <a:fld id="{894F59F3-873E-47F2-8F16-5A2F94D674AE}" type="CELLRANGE">
                      <a:rPr lang="en-US"/>
                      <a:pPr>
                        <a:defRPr sz="1000" b="0" i="0" u="none" strike="noStrike" baseline="0">
                          <a:solidFill>
                            <a:srgbClr val="000000"/>
                          </a:solidFill>
                          <a:latin typeface="Arial"/>
                          <a:ea typeface="Arial"/>
                          <a:cs typeface="Arial"/>
                        </a:defRPr>
                      </a:pPr>
                      <a:t>[CELLRANGE]</a:t>
                    </a:fld>
                    <a:endParaRPr lang="en-US"/>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4"/>
              <c:layout/>
              <c:tx>
                <c:rich>
                  <a:bodyPr/>
                  <a:lstStyle/>
                  <a:p>
                    <a:pPr>
                      <a:defRPr sz="1000" b="0" i="0" u="none" strike="noStrike" baseline="0">
                        <a:solidFill>
                          <a:srgbClr val="000000"/>
                        </a:solidFill>
                        <a:latin typeface="Arial"/>
                        <a:ea typeface="Arial"/>
                        <a:cs typeface="Arial"/>
                      </a:defRPr>
                    </a:pPr>
                    <a:fld id="{B9F99DEA-7B91-4AC1-A5EE-753F89AE4D3A}" type="CELLRANGE">
                      <a:rPr lang="en-US"/>
                      <a:pPr>
                        <a:defRPr sz="1000" b="0" i="0" u="none" strike="noStrike" baseline="0">
                          <a:solidFill>
                            <a:srgbClr val="000000"/>
                          </a:solidFill>
                          <a:latin typeface="Arial"/>
                          <a:ea typeface="Arial"/>
                          <a:cs typeface="Arial"/>
                        </a:defRPr>
                      </a:pPr>
                      <a:t>[CELLRANGE]</a:t>
                    </a:fld>
                    <a:endParaRPr lang="en-US"/>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5"/>
              <c:layout/>
              <c:tx>
                <c:rich>
                  <a:bodyPr/>
                  <a:lstStyle/>
                  <a:p>
                    <a:pPr>
                      <a:defRPr sz="1000" b="0" i="0" u="none" strike="noStrike" baseline="0">
                        <a:solidFill>
                          <a:srgbClr val="000000"/>
                        </a:solidFill>
                        <a:latin typeface="Arial"/>
                        <a:ea typeface="Arial"/>
                        <a:cs typeface="Arial"/>
                      </a:defRPr>
                    </a:pPr>
                    <a:fld id="{6A8541F7-152F-4973-BD52-E821CD97C52B}" type="CELLRANGE">
                      <a:rPr lang="en-US"/>
                      <a:pPr>
                        <a:defRPr sz="1000" b="0" i="0" u="none" strike="noStrike" baseline="0">
                          <a:solidFill>
                            <a:srgbClr val="000000"/>
                          </a:solidFill>
                          <a:latin typeface="Arial"/>
                          <a:ea typeface="Arial"/>
                          <a:cs typeface="Arial"/>
                        </a:defRPr>
                      </a:pPr>
                      <a:t>[CELLRANGE]</a:t>
                    </a:fld>
                    <a:endParaRPr lang="en-US"/>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6"/>
              <c:layout/>
              <c:tx>
                <c:rich>
                  <a:bodyPr/>
                  <a:lstStyle/>
                  <a:p>
                    <a:pPr>
                      <a:defRPr sz="1000" b="0" i="0" u="none" strike="noStrike" baseline="0">
                        <a:solidFill>
                          <a:srgbClr val="000000"/>
                        </a:solidFill>
                        <a:latin typeface="Arial"/>
                        <a:ea typeface="Arial"/>
                        <a:cs typeface="Arial"/>
                      </a:defRPr>
                    </a:pPr>
                    <a:fld id="{FB67EFF6-1668-472B-9674-048D51791275}" type="CELLRANGE">
                      <a:rPr lang="en-US"/>
                      <a:pPr>
                        <a:defRPr sz="1000" b="0" i="0" u="none" strike="noStrike" baseline="0">
                          <a:solidFill>
                            <a:srgbClr val="000000"/>
                          </a:solidFill>
                          <a:latin typeface="Arial"/>
                          <a:ea typeface="Arial"/>
                          <a:cs typeface="Arial"/>
                        </a:defRPr>
                      </a:pPr>
                      <a:t>[CELLRANGE]</a:t>
                    </a:fld>
                    <a:endParaRPr lang="en-US"/>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7"/>
              <c:layout/>
              <c:tx>
                <c:rich>
                  <a:bodyPr/>
                  <a:lstStyle/>
                  <a:p>
                    <a:pPr>
                      <a:defRPr sz="1000" b="0" i="0" u="none" strike="noStrike" baseline="0">
                        <a:solidFill>
                          <a:srgbClr val="000000"/>
                        </a:solidFill>
                        <a:latin typeface="Arial"/>
                        <a:ea typeface="Arial"/>
                        <a:cs typeface="Arial"/>
                      </a:defRPr>
                    </a:pPr>
                    <a:fld id="{520119B0-807D-460C-BAB3-8310DCEC0005}" type="CELLRANGE">
                      <a:rPr lang="en-US"/>
                      <a:pPr>
                        <a:defRPr sz="1000" b="0" i="0" u="none" strike="noStrike" baseline="0">
                          <a:solidFill>
                            <a:srgbClr val="000000"/>
                          </a:solidFill>
                          <a:latin typeface="Arial"/>
                          <a:ea typeface="Arial"/>
                          <a:cs typeface="Arial"/>
                        </a:defRPr>
                      </a:pPr>
                      <a:t>[CELLRANGE]</a:t>
                    </a:fld>
                    <a:endParaRPr lang="en-US"/>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8"/>
              <c:layout/>
              <c:tx>
                <c:rich>
                  <a:bodyPr/>
                  <a:lstStyle/>
                  <a:p>
                    <a:pPr>
                      <a:defRPr sz="1000" b="0" i="0" u="none" strike="noStrike" baseline="0">
                        <a:solidFill>
                          <a:srgbClr val="000000"/>
                        </a:solidFill>
                        <a:latin typeface="Arial"/>
                        <a:ea typeface="Arial"/>
                        <a:cs typeface="Arial"/>
                      </a:defRPr>
                    </a:pPr>
                    <a:fld id="{0A61A552-5A98-4E61-B323-197B2E1E79BC}" type="CELLRANGE">
                      <a:rPr lang="en-US"/>
                      <a:pPr>
                        <a:defRPr sz="1000" b="0" i="0" u="none" strike="noStrike" baseline="0">
                          <a:solidFill>
                            <a:srgbClr val="000000"/>
                          </a:solidFill>
                          <a:latin typeface="Arial"/>
                          <a:ea typeface="Arial"/>
                          <a:cs typeface="Arial"/>
                        </a:defRPr>
                      </a:pPr>
                      <a:t>[CELLRANGE]</a:t>
                    </a:fld>
                    <a:endParaRPr lang="en-US"/>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9"/>
              <c:delete val="1"/>
              <c:extLst>
                <c:ext xmlns:c15="http://schemas.microsoft.com/office/drawing/2012/chart" uri="{CE6537A1-D6FC-4f65-9D91-7224C49458BB}"/>
              </c:extLst>
            </c:dLbl>
            <c:dLbl>
              <c:idx val="10"/>
              <c:layout/>
              <c:tx>
                <c:rich>
                  <a:bodyPr/>
                  <a:lstStyle/>
                  <a:p>
                    <a:fld id="{E7A56CF8-F2B1-4B0E-9557-5A74D224541C}"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11"/>
              <c:layout/>
              <c:tx>
                <c:rich>
                  <a:bodyPr/>
                  <a:lstStyle/>
                  <a:p>
                    <a:fld id="{04A440F3-B4C0-4E27-B795-4BDF1F06F907}"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12"/>
              <c:layout/>
              <c:tx>
                <c:rich>
                  <a:bodyPr/>
                  <a:lstStyle/>
                  <a:p>
                    <a:fld id="{99AF20AC-AB28-4396-93CD-9C4071E2962E}"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13"/>
              <c:layout/>
              <c:tx>
                <c:rich>
                  <a:bodyPr/>
                  <a:lstStyle/>
                  <a:p>
                    <a:fld id="{68FE20A3-4B70-4190-B82B-0A2EE97C719B}"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14"/>
              <c:layout/>
              <c:tx>
                <c:rich>
                  <a:bodyPr/>
                  <a:lstStyle/>
                  <a:p>
                    <a:fld id="{1BF51DAF-FB61-4723-8EF2-A7DDFA79A8DD}"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15"/>
              <c:layout/>
              <c:tx>
                <c:rich>
                  <a:bodyPr/>
                  <a:lstStyle/>
                  <a:p>
                    <a:fld id="{DDE9A66F-E5A7-45F6-A967-62DC8DD14977}"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16"/>
              <c:layout/>
              <c:tx>
                <c:rich>
                  <a:bodyPr/>
                  <a:lstStyle/>
                  <a:p>
                    <a:fld id="{3573B5BF-FF98-4B3A-B899-02B6EDE74705}"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17"/>
              <c:layout/>
              <c:tx>
                <c:rich>
                  <a:bodyPr/>
                  <a:lstStyle/>
                  <a:p>
                    <a:fld id="{FBC65B12-46AC-4AB5-9263-474B6077ADCA}"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18"/>
              <c:layout/>
              <c:tx>
                <c:rich>
                  <a:bodyPr/>
                  <a:lstStyle/>
                  <a:p>
                    <a:fld id="{15D8855E-FCE1-4872-8ACE-24BABB7A85E8}"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19"/>
              <c:layout/>
              <c:tx>
                <c:rich>
                  <a:bodyPr/>
                  <a:lstStyle/>
                  <a:p>
                    <a:fld id="{C25191CB-0821-4795-AF7A-F4DE9DC037EC}"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20"/>
              <c:layout/>
              <c:tx>
                <c:rich>
                  <a:bodyPr/>
                  <a:lstStyle/>
                  <a:p>
                    <a:fld id="{7A38269A-6D01-4B81-904E-A04A1FA52475}"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21"/>
              <c:layout/>
              <c:tx>
                <c:rich>
                  <a:bodyPr/>
                  <a:lstStyle/>
                  <a:p>
                    <a:endParaRPr lang="en-US"/>
                  </a:p>
                </c:rich>
              </c:tx>
              <c:dLblPos val="r"/>
              <c:showLegendKey val="0"/>
              <c:showVal val="0"/>
              <c:showCatName val="0"/>
              <c:showSerName val="0"/>
              <c:showPercent val="0"/>
              <c:showBubbleSize val="0"/>
              <c:extLst>
                <c:ext xmlns:c15="http://schemas.microsoft.com/office/drawing/2012/chart" uri="{CE6537A1-D6FC-4f65-9D91-7224C49458BB}">
                  <c15:layout/>
                </c:ext>
              </c:extLst>
            </c:dLbl>
            <c:spPr>
              <a:noFill/>
              <a:ln>
                <a:noFill/>
              </a:ln>
              <a:effectLst/>
            </c:spPr>
            <c:dLblPos val="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xVal>
            <c:numRef>
              <c:f>Performance!$C$48:$AB$48</c:f>
              <c:numCache>
                <c:formatCode>General</c:formatCode>
                <c:ptCount val="26"/>
                <c:pt idx="0">
                  <c:v>15</c:v>
                </c:pt>
                <c:pt idx="1">
                  <c:v>20</c:v>
                </c:pt>
                <c:pt idx="2">
                  <c:v>25</c:v>
                </c:pt>
                <c:pt idx="3">
                  <c:v>30</c:v>
                </c:pt>
                <c:pt idx="4">
                  <c:v>35</c:v>
                </c:pt>
                <c:pt idx="5">
                  <c:v>40</c:v>
                </c:pt>
                <c:pt idx="6">
                  <c:v>45</c:v>
                </c:pt>
                <c:pt idx="7">
                  <c:v>50</c:v>
                </c:pt>
                <c:pt idx="8">
                  <c:v>55</c:v>
                </c:pt>
                <c:pt idx="9">
                  <c:v>60</c:v>
                </c:pt>
                <c:pt idx="10">
                  <c:v>65</c:v>
                </c:pt>
                <c:pt idx="11">
                  <c:v>70</c:v>
                </c:pt>
                <c:pt idx="12">
                  <c:v>75</c:v>
                </c:pt>
                <c:pt idx="13">
                  <c:v>80</c:v>
                </c:pt>
                <c:pt idx="14">
                  <c:v>85</c:v>
                </c:pt>
                <c:pt idx="15">
                  <c:v>90</c:v>
                </c:pt>
                <c:pt idx="16">
                  <c:v>95</c:v>
                </c:pt>
                <c:pt idx="17">
                  <c:v>100</c:v>
                </c:pt>
                <c:pt idx="18">
                  <c:v>105</c:v>
                </c:pt>
                <c:pt idx="19">
                  <c:v>110</c:v>
                </c:pt>
                <c:pt idx="20">
                  <c:v>115</c:v>
                </c:pt>
                <c:pt idx="21">
                  <c:v>120</c:v>
                </c:pt>
                <c:pt idx="22">
                  <c:v>105.84205150857743</c:v>
                </c:pt>
                <c:pt idx="23">
                  <c:v>105.84205150857743</c:v>
                </c:pt>
                <c:pt idx="24">
                  <c:v>87.468250794658715</c:v>
                </c:pt>
                <c:pt idx="25">
                  <c:v>87.468250794658715</c:v>
                </c:pt>
              </c:numCache>
            </c:numRef>
          </c:xVal>
          <c:yVal>
            <c:numRef>
              <c:f>Performance!$C$58:$X$58</c:f>
              <c:numCache>
                <c:formatCode>General</c:formatCode>
                <c:ptCount val="22"/>
                <c:pt idx="0">
                  <c:v>0.81080210779008022</c:v>
                </c:pt>
                <c:pt idx="1">
                  <c:v>0.61136595305221941</c:v>
                </c:pt>
                <c:pt idx="2">
                  <c:v>0.49245040242885368</c:v>
                </c:pt>
                <c:pt idx="3">
                  <c:v>0.41379515386273541</c:v>
                </c:pt>
                <c:pt idx="4">
                  <c:v>0.35814579218647297</c:v>
                </c:pt>
                <c:pt idx="5">
                  <c:v>0.31687510981637018</c:v>
                </c:pt>
                <c:pt idx="6">
                  <c:v>0.28519021365037406</c:v>
                </c:pt>
                <c:pt idx="7">
                  <c:v>0.26021536782725235</c:v>
                </c:pt>
                <c:pt idx="8">
                  <c:v>0.24012055861713053</c:v>
                </c:pt>
                <c:pt idx="9">
                  <c:v>0.22368577686675833</c:v>
                </c:pt>
                <c:pt idx="10">
                  <c:v>0.21006640085465533</c:v>
                </c:pt>
                <c:pt idx="11">
                  <c:v>0.1986591293511922</c:v>
                </c:pt>
                <c:pt idx="12">
                  <c:v>0.18902154145464109</c:v>
                </c:pt>
                <c:pt idx="13">
                  <c:v>0.18082182148870596</c:v>
                </c:pt>
                <c:pt idx="14">
                  <c:v>0.17380622805386634</c:v>
                </c:pt>
                <c:pt idx="15">
                  <c:v>0.16777740672827299</c:v>
                </c:pt>
                <c:pt idx="16">
                  <c:v>0.16257955138941332</c:v>
                </c:pt>
                <c:pt idx="17">
                  <c:v>0.15808801713927728</c:v>
                </c:pt>
                <c:pt idx="18">
                  <c:v>0.1542019009651901</c:v>
                </c:pt>
                <c:pt idx="19">
                  <c:v>0.15083864585678147</c:v>
                </c:pt>
                <c:pt idx="20">
                  <c:v>0.147930052544615</c:v>
                </c:pt>
                <c:pt idx="21">
                  <c:v>0.14541928830416048</c:v>
                </c:pt>
              </c:numCache>
            </c:numRef>
          </c:yVal>
          <c:smooth val="1"/>
          <c:extLst>
            <c:ext xmlns:c15="http://schemas.microsoft.com/office/drawing/2012/chart" uri="{02D57815-91ED-43cb-92C2-25804820EDAC}">
              <c15:datalabelsRange>
                <c15:f>Performance!$C$81:$W$81</c15:f>
                <c15:dlblRangeCache>
                  <c:ptCount val="21"/>
                  <c:pt idx="3">
                    <c:v>Cruise Mach req'm't</c:v>
                  </c:pt>
                </c15:dlblRangeCache>
              </c15:datalabelsRange>
            </c:ext>
          </c:extLst>
        </c:ser>
        <c:dLbls>
          <c:showLegendKey val="0"/>
          <c:showVal val="0"/>
          <c:showCatName val="0"/>
          <c:showSerName val="0"/>
          <c:showPercent val="0"/>
          <c:showBubbleSize val="0"/>
        </c:dLbls>
        <c:axId val="350373824"/>
        <c:axId val="350374216"/>
      </c:scatterChart>
      <c:scatterChart>
        <c:scatterStyle val="lineMarker"/>
        <c:varyColors val="0"/>
        <c:ser>
          <c:idx val="0"/>
          <c:order val="0"/>
          <c:spPr>
            <a:ln w="12700">
              <a:solidFill>
                <a:srgbClr val="0000FF"/>
              </a:solidFill>
              <a:prstDash val="solid"/>
            </a:ln>
          </c:spPr>
          <c:marker>
            <c:symbol val="none"/>
          </c:marker>
          <c:dLbls>
            <c:dLbl>
              <c:idx val="0"/>
              <c:layout/>
              <c:tx>
                <c:strRef>
                  <c:f>Performance!$A$83</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layout/>
                  <c15:dlblFieldTable>
                    <c15:dlblFTEntry>
                      <c15:txfldGUID>{D81871A7-86EE-4D1E-8A77-9A87F1D86E10}</c15:txfldGUID>
                      <c15:f>Performance!$A$83</c15:f>
                      <c15:dlblFieldTableCache>
                        <c:ptCount val="1"/>
                      </c15:dlblFieldTableCache>
                    </c15:dlblFTEntry>
                  </c15:dlblFieldTable>
                  <c15:showDataLabelsRange val="0"/>
                </c:ext>
              </c:extLst>
            </c:dLbl>
            <c:dLbl>
              <c:idx val="1"/>
              <c:layout/>
              <c:tx>
                <c:strRef>
                  <c:f>Performance!$B$83</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layout/>
                  <c15:dlblFieldTable>
                    <c15:dlblFTEntry>
                      <c15:txfldGUID>{2AA15FBC-EB17-4694-94DE-06D1A8488F94}</c15:txfldGUID>
                      <c15:f>Performance!$B$83</c15:f>
                      <c15:dlblFieldTableCache>
                        <c:ptCount val="1"/>
                      </c15:dlblFieldTableCache>
                    </c15:dlblFTEntry>
                  </c15:dlblFieldTable>
                  <c15:showDataLabelsRange val="0"/>
                </c:ext>
              </c:extLst>
            </c:dLbl>
            <c:dLbl>
              <c:idx val="2"/>
              <c:layout/>
              <c:tx>
                <c:strRef>
                  <c:f>Performance!$C$83</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layout/>
                  <c15:dlblFieldTable>
                    <c15:dlblFTEntry>
                      <c15:txfldGUID>{3C05F30A-C951-4C07-838D-D3780501518B}</c15:txfldGUID>
                      <c15:f>Performance!$C$83</c15:f>
                      <c15:dlblFieldTableCache>
                        <c:ptCount val="1"/>
                      </c15:dlblFieldTableCache>
                    </c15:dlblFTEntry>
                  </c15:dlblFieldTable>
                  <c15:showDataLabelsRange val="0"/>
                </c:ext>
              </c:extLst>
            </c:dLbl>
            <c:dLbl>
              <c:idx val="3"/>
              <c:layout/>
              <c:tx>
                <c:strRef>
                  <c:f>Performance!$D$83</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layout/>
                  <c15:dlblFieldTable>
                    <c15:dlblFTEntry>
                      <c15:txfldGUID>{78102BF8-76EE-4B6A-8600-76CC5E8FE729}</c15:txfldGUID>
                      <c15:f>Performance!$D$83</c15:f>
                      <c15:dlblFieldTableCache>
                        <c:ptCount val="1"/>
                      </c15:dlblFieldTableCache>
                    </c15:dlblFTEntry>
                  </c15:dlblFieldTable>
                  <c15:showDataLabelsRange val="0"/>
                </c:ext>
              </c:extLst>
            </c:dLbl>
            <c:dLbl>
              <c:idx val="4"/>
              <c:layout/>
              <c:tx>
                <c:strRef>
                  <c:f>Performance!$E$83</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layout/>
                  <c15:dlblFieldTable>
                    <c15:dlblFTEntry>
                      <c15:txfldGUID>{15A8A32A-0C34-468D-8CF6-7E6CC149E10F}</c15:txfldGUID>
                      <c15:f>Performance!$E$83</c15:f>
                      <c15:dlblFieldTableCache>
                        <c:ptCount val="1"/>
                      </c15:dlblFieldTableCache>
                    </c15:dlblFTEntry>
                  </c15:dlblFieldTable>
                  <c15:showDataLabelsRange val="0"/>
                </c:ext>
              </c:extLst>
            </c:dLbl>
            <c:dLbl>
              <c:idx val="5"/>
              <c:layout/>
              <c:tx>
                <c:strRef>
                  <c:f>Performance!$F$83</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layout/>
                  <c15:dlblFieldTable>
                    <c15:dlblFTEntry>
                      <c15:txfldGUID>{488B7099-5EFA-4A6B-8AA3-CA83A2CCE4A3}</c15:txfldGUID>
                      <c15:f>Performance!$F$83</c15:f>
                      <c15:dlblFieldTableCache>
                        <c:ptCount val="1"/>
                      </c15:dlblFieldTableCache>
                    </c15:dlblFTEntry>
                  </c15:dlblFieldTable>
                  <c15:showDataLabelsRange val="0"/>
                </c:ext>
              </c:extLst>
            </c:dLbl>
            <c:dLbl>
              <c:idx val="6"/>
              <c:layout/>
              <c:tx>
                <c:strRef>
                  <c:f>Performance!$G$83</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layout/>
                  <c15:dlblFieldTable>
                    <c15:dlblFTEntry>
                      <c15:txfldGUID>{30D9CD52-3773-48F9-AE7B-E1A90A917044}</c15:txfldGUID>
                      <c15:f>Performance!$G$83</c15:f>
                      <c15:dlblFieldTableCache>
                        <c:ptCount val="1"/>
                      </c15:dlblFieldTableCache>
                    </c15:dlblFTEntry>
                  </c15:dlblFieldTable>
                  <c15:showDataLabelsRange val="0"/>
                </c:ext>
              </c:extLst>
            </c:dLbl>
            <c:dLbl>
              <c:idx val="7"/>
              <c:layout/>
              <c:tx>
                <c:strRef>
                  <c:f>Performance!$H$83</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layout/>
                  <c15:dlblFieldTable>
                    <c15:dlblFTEntry>
                      <c15:txfldGUID>{11E5480C-BB1C-4D5E-AE77-BD1462E3BA38}</c15:txfldGUID>
                      <c15:f>Performance!$H$83</c15:f>
                      <c15:dlblFieldTableCache>
                        <c:ptCount val="1"/>
                      </c15:dlblFieldTableCache>
                    </c15:dlblFTEntry>
                  </c15:dlblFieldTable>
                  <c15:showDataLabelsRange val="0"/>
                </c:ext>
              </c:extLst>
            </c:dLbl>
            <c:dLbl>
              <c:idx val="8"/>
              <c:layout/>
              <c:tx>
                <c:strRef>
                  <c:f>Performance!$I$83</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layout/>
                  <c15:dlblFieldTable>
                    <c15:dlblFTEntry>
                      <c15:txfldGUID>{79440445-AFF8-4069-A79D-032B7E8C5E32}</c15:txfldGUID>
                      <c15:f>Performance!$I$83</c15:f>
                      <c15:dlblFieldTableCache>
                        <c:ptCount val="1"/>
                      </c15:dlblFieldTableCache>
                    </c15:dlblFTEntry>
                  </c15:dlblFieldTable>
                  <c15:showDataLabelsRange val="0"/>
                </c:ext>
              </c:extLst>
            </c:dLbl>
            <c:dLbl>
              <c:idx val="9"/>
              <c:layout/>
              <c:tx>
                <c:strRef>
                  <c:f>Performance!$J$83</c:f>
                  <c:strCache>
                    <c:ptCount val="1"/>
                    <c:pt idx="0">
                      <c:v>Takeoff (Roskam I, =n 3.8)</c:v>
                    </c:pt>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layout/>
                  <c15:dlblFieldTable>
                    <c15:dlblFTEntry>
                      <c15:txfldGUID>{986ED8CE-6B82-4BD6-BE84-0A4DC0B4E4DE}</c15:txfldGUID>
                      <c15:f>Performance!$J$83</c15:f>
                      <c15:dlblFieldTableCache>
                        <c:ptCount val="1"/>
                        <c:pt idx="0">
                          <c:v>Takeoff (Roskam I, =n 3.8)</c:v>
                        </c:pt>
                      </c15:dlblFieldTableCache>
                    </c15:dlblFTEntry>
                  </c15:dlblFieldTable>
                  <c15:showDataLabelsRange val="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Performance!$C$48:$AB$48</c:f>
              <c:numCache>
                <c:formatCode>General</c:formatCode>
                <c:ptCount val="26"/>
                <c:pt idx="0">
                  <c:v>15</c:v>
                </c:pt>
                <c:pt idx="1">
                  <c:v>20</c:v>
                </c:pt>
                <c:pt idx="2">
                  <c:v>25</c:v>
                </c:pt>
                <c:pt idx="3">
                  <c:v>30</c:v>
                </c:pt>
                <c:pt idx="4">
                  <c:v>35</c:v>
                </c:pt>
                <c:pt idx="5">
                  <c:v>40</c:v>
                </c:pt>
                <c:pt idx="6">
                  <c:v>45</c:v>
                </c:pt>
                <c:pt idx="7">
                  <c:v>50</c:v>
                </c:pt>
                <c:pt idx="8">
                  <c:v>55</c:v>
                </c:pt>
                <c:pt idx="9">
                  <c:v>60</c:v>
                </c:pt>
                <c:pt idx="10">
                  <c:v>65</c:v>
                </c:pt>
                <c:pt idx="11">
                  <c:v>70</c:v>
                </c:pt>
                <c:pt idx="12">
                  <c:v>75</c:v>
                </c:pt>
                <c:pt idx="13">
                  <c:v>80</c:v>
                </c:pt>
                <c:pt idx="14">
                  <c:v>85</c:v>
                </c:pt>
                <c:pt idx="15">
                  <c:v>90</c:v>
                </c:pt>
                <c:pt idx="16">
                  <c:v>95</c:v>
                </c:pt>
                <c:pt idx="17">
                  <c:v>100</c:v>
                </c:pt>
                <c:pt idx="18">
                  <c:v>105</c:v>
                </c:pt>
                <c:pt idx="19">
                  <c:v>110</c:v>
                </c:pt>
                <c:pt idx="20">
                  <c:v>115</c:v>
                </c:pt>
                <c:pt idx="21">
                  <c:v>120</c:v>
                </c:pt>
                <c:pt idx="22">
                  <c:v>105.84205150857743</c:v>
                </c:pt>
                <c:pt idx="23">
                  <c:v>105.84205150857743</c:v>
                </c:pt>
                <c:pt idx="24">
                  <c:v>87.468250794658715</c:v>
                </c:pt>
                <c:pt idx="25">
                  <c:v>87.468250794658715</c:v>
                </c:pt>
              </c:numCache>
            </c:numRef>
          </c:xVal>
          <c:yVal>
            <c:numRef>
              <c:f>Performance!$C$55:$X$55</c:f>
              <c:numCache>
                <c:formatCode>General</c:formatCode>
                <c:ptCount val="22"/>
                <c:pt idx="0">
                  <c:v>8.3333196491228057E-2</c:v>
                </c:pt>
                <c:pt idx="1">
                  <c:v>0.11111092865497074</c:v>
                </c:pt>
                <c:pt idx="2">
                  <c:v>0.13888866081871343</c:v>
                </c:pt>
                <c:pt idx="3">
                  <c:v>0.16666639298245611</c:v>
                </c:pt>
                <c:pt idx="4">
                  <c:v>0.1944441251461988</c:v>
                </c:pt>
                <c:pt idx="5">
                  <c:v>0.22222185730994148</c:v>
                </c:pt>
                <c:pt idx="6">
                  <c:v>0.24999958947368417</c:v>
                </c:pt>
                <c:pt idx="7">
                  <c:v>0.27777732163742686</c:v>
                </c:pt>
                <c:pt idx="8">
                  <c:v>0.30555505380116954</c:v>
                </c:pt>
                <c:pt idx="9">
                  <c:v>0.33333278596491223</c:v>
                </c:pt>
                <c:pt idx="10">
                  <c:v>0.36111051812865491</c:v>
                </c:pt>
                <c:pt idx="11">
                  <c:v>0.3888882502923976</c:v>
                </c:pt>
                <c:pt idx="12">
                  <c:v>0.41666598245614028</c:v>
                </c:pt>
                <c:pt idx="13">
                  <c:v>0.44444371461988297</c:v>
                </c:pt>
                <c:pt idx="14">
                  <c:v>0.47222144678362565</c:v>
                </c:pt>
                <c:pt idx="15">
                  <c:v>0.49999917894736834</c:v>
                </c:pt>
                <c:pt idx="16">
                  <c:v>0.52777691111111102</c:v>
                </c:pt>
                <c:pt idx="17">
                  <c:v>0.55555464327485371</c:v>
                </c:pt>
                <c:pt idx="18">
                  <c:v>0.5833323754385964</c:v>
                </c:pt>
                <c:pt idx="19">
                  <c:v>0.61111010760233908</c:v>
                </c:pt>
                <c:pt idx="20">
                  <c:v>0.63888783976608177</c:v>
                </c:pt>
                <c:pt idx="21">
                  <c:v>0.66666557192982445</c:v>
                </c:pt>
              </c:numCache>
            </c:numRef>
          </c:yVal>
          <c:smooth val="0"/>
        </c:ser>
        <c:ser>
          <c:idx val="1"/>
          <c:order val="1"/>
          <c:spPr>
            <a:ln w="3175">
              <a:solidFill>
                <a:srgbClr val="00FF00"/>
              </a:solidFill>
              <a:prstDash val="solid"/>
            </a:ln>
          </c:spPr>
          <c:marker>
            <c:symbol val="none"/>
          </c:marker>
          <c:dPt>
            <c:idx val="23"/>
            <c:bubble3D val="0"/>
            <c:spPr>
              <a:ln w="12700">
                <a:solidFill>
                  <a:srgbClr val="00FF00"/>
                </a:solidFill>
                <a:prstDash val="solid"/>
              </a:ln>
            </c:spPr>
          </c:dPt>
          <c:dLbls>
            <c:dLbl>
              <c:idx val="0"/>
              <c:tx>
                <c:strRef>
                  <c:f>Performance!$C$47</c:f>
                  <c:strCache>
                    <c:ptCount val="1"/>
                    <c:pt idx="0">
                      <c:v>5</c:v>
                    </c:pt>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{7D3C7978-936A-41D5-A0C5-4B80E4571560}</c15:txfldGUID>
                      <c15:f>Performance!$C$47</c15:f>
                      <c15:dlblFieldTableCache>
                        <c:ptCount val="1"/>
                        <c:pt idx="0">
                          <c:v>5</c:v>
                        </c:pt>
                      </c15:dlblFieldTableCache>
                    </c15:dlblFTEntry>
                  </c15:dlblFieldTable>
                  <c15:showDataLabelsRange val="0"/>
                </c:ext>
              </c:extLst>
            </c:dLbl>
            <c:dLbl>
              <c:idx val="1"/>
              <c:tx>
                <c:strRef>
                  <c:f>Performance!$D$47</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{0B615A6A-D2E8-4AF2-8A43-697ED4517897}</c15:txfldGUID>
                      <c15:f>Performance!$D$47</c15:f>
                      <c15:dlblFieldTableCache>
                        <c:ptCount val="1"/>
                      </c15:dlblFieldTableCache>
                    </c15:dlblFTEntry>
                  </c15:dlblFieldTable>
                  <c15:showDataLabelsRange val="0"/>
                </c:ext>
              </c:extLst>
            </c:dLbl>
            <c:dLbl>
              <c:idx val="2"/>
              <c:tx>
                <c:strRef>
                  <c:f>Performance!$E$47</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{48CAE612-1FE1-457A-8002-35A68DB194A4}</c15:txfldGUID>
                      <c15:f>Performance!$E$47</c15:f>
                      <c15:dlblFieldTableCache>
                        <c:ptCount val="1"/>
                      </c15:dlblFieldTableCache>
                    </c15:dlblFTEntry>
                  </c15:dlblFieldTable>
                  <c15:showDataLabelsRange val="0"/>
                </c:ext>
              </c:extLst>
            </c:dLbl>
            <c:dLbl>
              <c:idx val="3"/>
              <c:tx>
                <c:strRef>
                  <c:f>Performance!$F$47</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{BDB4C40C-8FCB-44A4-AD6B-532DBDAA86FE}</c15:txfldGUID>
                      <c15:f>Performance!$F$47</c15:f>
                      <c15:dlblFieldTableCache>
                        <c:ptCount val="1"/>
                      </c15:dlblFieldTableCache>
                    </c15:dlblFTEntry>
                  </c15:dlblFieldTable>
                  <c15:showDataLabelsRange val="0"/>
                </c:ext>
              </c:extLst>
            </c:dLbl>
            <c:dLbl>
              <c:idx val="4"/>
              <c:tx>
                <c:strRef>
                  <c:f>Performance!$G$47</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{EDEF3C13-0D2E-441D-8356-C6D380089AD5}</c15:txfldGUID>
                      <c15:f>Performance!$G$47</c15:f>
                      <c15:dlblFieldTableCache>
                        <c:ptCount val="1"/>
                      </c15:dlblFieldTableCache>
                    </c15:dlblFTEntry>
                  </c15:dlblFieldTable>
                  <c15:showDataLabelsRange val="0"/>
                </c:ext>
              </c:extLst>
            </c:dLbl>
            <c:dLbl>
              <c:idx val="5"/>
              <c:tx>
                <c:strRef>
                  <c:f>Performance!$H$47</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{6A11EBC8-A397-4211-A4CD-77FF6D4F0DE0}</c15:txfldGUID>
                      <c15:f>Performance!$H$47</c15:f>
                      <c15:dlblFieldTableCache>
                        <c:ptCount val="1"/>
                      </c15:dlblFieldTableCache>
                    </c15:dlblFTEntry>
                  </c15:dlblFieldTable>
                  <c15:showDataLabelsRange val="0"/>
                </c:ext>
              </c:extLst>
            </c:dLbl>
            <c:dLbl>
              <c:idx val="6"/>
              <c:tx>
                <c:strRef>
                  <c:f>Performance!$I$47</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{65A91B4B-7218-434B-804A-B061AB09B833}</c15:txfldGUID>
                      <c15:f>Performance!$I$47</c15:f>
                      <c15:dlblFieldTableCache>
                        <c:ptCount val="1"/>
                      </c15:dlblFieldTableCache>
                    </c15:dlblFTEntry>
                  </c15:dlblFieldTable>
                  <c15:showDataLabelsRange val="0"/>
                </c:ext>
              </c:extLst>
            </c:dLbl>
            <c:dLbl>
              <c:idx val="7"/>
              <c:tx>
                <c:strRef>
                  <c:f>Performance!$J$47</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{CBADA47F-2BD3-44E7-A875-C81C0FF3896A}</c15:txfldGUID>
                      <c15:f>Performance!$J$47</c15:f>
                      <c15:dlblFieldTableCache>
                        <c:ptCount val="1"/>
                      </c15:dlblFieldTableCache>
                    </c15:dlblFTEntry>
                  </c15:dlblFieldTable>
                  <c15:showDataLabelsRange val="0"/>
                </c:ext>
              </c:extLst>
            </c:dLbl>
            <c:dLbl>
              <c:idx val="8"/>
              <c:tx>
                <c:strRef>
                  <c:f>Performance!$K$47</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{9EED10A3-58EB-42BB-AABB-0FF44C2D2C23}</c15:txfldGUID>
                      <c15:f>Performance!$K$47</c15:f>
                      <c15:dlblFieldTableCache>
                        <c:ptCount val="1"/>
                      </c15:dlblFieldTableCache>
                    </c15:dlblFTEntry>
                  </c15:dlblFieldTable>
                  <c15:showDataLabelsRange val="0"/>
                </c:ext>
              </c:extLst>
            </c:dLbl>
            <c:dLbl>
              <c:idx val="9"/>
              <c:tx>
                <c:strRef>
                  <c:f>Performance!$L$47</c:f>
                  <c:strCache>
                    <c:ptCount val="1"/>
                    <c:pt idx="0">
                      <c:v>v</c:v>
                    </c:pt>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{FF009AD1-B879-49BC-B236-6B8ACE0E9460}</c15:txfldGUID>
                      <c15:f>Performance!$L$47</c15:f>
                      <c15:dlblFieldTableCache>
                        <c:ptCount val="1"/>
                        <c:pt idx="0">
                          <c:v>v</c:v>
                        </c:pt>
                      </c15:dlblFieldTableCache>
                    </c15:dlblFTEntry>
                  </c15:dlblFieldTable>
                  <c15:showDataLabelsRange val="0"/>
                </c:ext>
              </c:extLst>
            </c:dLbl>
            <c:dLbl>
              <c:idx val="10"/>
              <c:tx>
                <c:strRef>
                  <c:f>Performance!$M$47</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{6F632DBC-825F-44CE-B9F8-83712A8DB90C}</c15:txfldGUID>
                      <c15:f>Performance!$M$47</c15:f>
                      <c15:dlblFieldTableCache>
                        <c:ptCount val="1"/>
                      </c15:dlblFieldTableCache>
                    </c15:dlblFTEntry>
                  </c15:dlblFieldTable>
                  <c15:showDataLabelsRange val="0"/>
                </c:ext>
              </c:extLst>
            </c:dLbl>
            <c:dLbl>
              <c:idx val="11"/>
              <c:tx>
                <c:strRef>
                  <c:f>Performance!$N$47</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{A12F3AF6-5BDE-46A2-BA09-C5236ADF863F}</c15:txfldGUID>
                      <c15:f>Performance!$N$47</c15:f>
                      <c15:dlblFieldTableCache>
                        <c:ptCount val="1"/>
                      </c15:dlblFieldTableCache>
                    </c15:dlblFTEntry>
                  </c15:dlblFieldTable>
                  <c15:showDataLabelsRange val="0"/>
                </c:ext>
              </c:extLst>
            </c:dLbl>
            <c:dLbl>
              <c:idx val="12"/>
              <c:tx>
                <c:strRef>
                  <c:f>Performance!$O$47</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{04F68D92-766B-4450-B7A9-722D1105C6BB}</c15:txfldGUID>
                      <c15:f>Performance!$O$47</c15:f>
                      <c15:dlblFieldTableCache>
                        <c:ptCount val="1"/>
                      </c15:dlblFieldTableCache>
                    </c15:dlblFTEntry>
                  </c15:dlblFieldTable>
                  <c15:showDataLabelsRange val="0"/>
                </c:ext>
              </c:extLst>
            </c:dLbl>
            <c:dLbl>
              <c:idx val="13"/>
              <c:tx>
                <c:strRef>
                  <c:f>Performance!$P$47</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{792B44AB-5D81-4578-9151-4DABC692035B}</c15:txfldGUID>
                      <c15:f>Performance!$P$47</c15:f>
                      <c15:dlblFieldTableCache>
                        <c:ptCount val="1"/>
                      </c15:dlblFieldTableCache>
                    </c15:dlblFTEntry>
                  </c15:dlblFieldTable>
                  <c15:showDataLabelsRange val="0"/>
                </c:ext>
              </c:extLst>
            </c:dLbl>
            <c:dLbl>
              <c:idx val="14"/>
              <c:tx>
                <c:strRef>
                  <c:f>Performance!$Q$47</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{C8EFB531-A6CF-47F4-A69D-80852D86CFAD}</c15:txfldGUID>
                      <c15:f>Performance!$Q$47</c15:f>
                      <c15:dlblFieldTableCache>
                        <c:ptCount val="1"/>
                      </c15:dlblFieldTableCache>
                    </c15:dlblFTEntry>
                  </c15:dlblFieldTable>
                  <c15:showDataLabelsRange val="0"/>
                </c:ext>
              </c:extLst>
            </c:dLbl>
            <c:dLbl>
              <c:idx val="15"/>
              <c:tx>
                <c:strRef>
                  <c:f>Performance!$R$47</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{652E7353-AABC-46AE-A0BE-5CF4D1E3E1DD}</c15:txfldGUID>
                      <c15:f>Performance!$R$47</c15:f>
                      <c15:dlblFieldTableCache>
                        <c:ptCount val="1"/>
                      </c15:dlblFieldTableCache>
                    </c15:dlblFTEntry>
                  </c15:dlblFieldTable>
                  <c15:showDataLabelsRange val="0"/>
                </c:ext>
              </c:extLst>
            </c:dLbl>
            <c:dLbl>
              <c:idx val="16"/>
              <c:tx>
                <c:strRef>
                  <c:f>Performance!$S$47</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{4B8DD78E-BF99-4FF2-AD70-6AB1E2D44D45}</c15:txfldGUID>
                      <c15:f>Performance!$S$47</c15:f>
                      <c15:dlblFieldTableCache>
                        <c:ptCount val="1"/>
                      </c15:dlblFieldTableCache>
                    </c15:dlblFTEntry>
                  </c15:dlblFieldTable>
                  <c15:showDataLabelsRange val="0"/>
                </c:ext>
              </c:extLst>
            </c:dLbl>
            <c:dLbl>
              <c:idx val="17"/>
              <c:tx>
                <c:strRef>
                  <c:f>Performance!$T$47</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{7DFB14B2-B237-4154-953F-1679FCA4C9FF}</c15:txfldGUID>
                      <c15:f>Performance!$T$47</c15:f>
                      <c15:dlblFieldTableCache>
                        <c:ptCount val="1"/>
                      </c15:dlblFieldTableCache>
                    </c15:dlblFTEntry>
                  </c15:dlblFieldTable>
                  <c15:showDataLabelsRange val="0"/>
                </c:ext>
              </c:extLst>
            </c:dLbl>
            <c:dLbl>
              <c:idx val="18"/>
              <c:tx>
                <c:strRef>
                  <c:f>Performance!$U$47</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{BC901A1A-B6BC-4AF2-B78E-98AC5EDCFBA7}</c15:txfldGUID>
                      <c15:f>Performance!$U$47</c15:f>
                      <c15:dlblFieldTableCache>
                        <c:ptCount val="1"/>
                      </c15:dlblFieldTableCache>
                    </c15:dlblFTEntry>
                  </c15:dlblFieldTable>
                  <c15:showDataLabelsRange val="0"/>
                </c:ext>
              </c:extLst>
            </c:dLbl>
            <c:dLbl>
              <c:idx val="19"/>
              <c:tx>
                <c:strRef>
                  <c:f>Performance!$V$47</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{C7AFA85D-F677-4038-9B51-F68631357855}</c15:txfldGUID>
                      <c15:f>Performance!$V$47</c15:f>
                      <c15:dlblFieldTableCache>
                        <c:ptCount val="1"/>
                      </c15:dlblFieldTableCache>
                    </c15:dlblFTEntry>
                  </c15:dlblFieldTable>
                  <c15:showDataLabelsRange val="0"/>
                </c:ext>
              </c:extLst>
            </c:dLbl>
            <c:dLbl>
              <c:idx val="20"/>
              <c:tx>
                <c:strRef>
                  <c:f>Performance!$W$47</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{15DE9414-38C9-4FED-93AD-562F489B6DD8}</c15:txfldGUID>
                      <c15:f>Performance!$W$47</c15:f>
                      <c15:dlblFieldTableCache>
                        <c:ptCount val="1"/>
                      </c15:dlblFieldTableCache>
                    </c15:dlblFTEntry>
                  </c15:dlblFieldTable>
                  <c15:showDataLabelsRange val="0"/>
                </c:ext>
              </c:extLst>
            </c:dLbl>
            <c:dLbl>
              <c:idx val="21"/>
              <c:tx>
                <c:strRef>
                  <c:f>Performance!$X$47</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{2B04BE43-A30E-45B3-AF91-93AEDD69C7BA}</c15:txfldGUID>
                      <c15:f>Performance!$X$47</c15:f>
                      <c15:dlblFieldTableCache>
                        <c:ptCount val="1"/>
                      </c15:dlblFieldTableCache>
                    </c15:dlblFTEntry>
                  </c15:dlblFieldTable>
                  <c15:showDataLabelsRange val="0"/>
                </c:ext>
              </c:extLst>
            </c:dLbl>
            <c:dLbl>
              <c:idx val="22"/>
              <c:layout/>
              <c:tx>
                <c:strRef>
                  <c:f>Performance!$Y$47</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layout/>
                  <c15:dlblFieldTable>
                    <c15:dlblFTEntry>
                      <c15:txfldGUID>{4E397CC9-C599-43A3-8C8D-08FEA81A14CD}</c15:txfldGUID>
                      <c15:f>Performance!$Y$47</c15:f>
                      <c15:dlblFieldTableCache>
                        <c:ptCount val="1"/>
                      </c15:dlblFieldTableCache>
                    </c15:dlblFTEntry>
                  </c15:dlblFieldTable>
                  <c15:showDataLabelsRange val="0"/>
                </c:ext>
              </c:extLst>
            </c:dLbl>
            <c:dLbl>
              <c:idx val="23"/>
              <c:layout/>
              <c:tx>
                <c:strRef>
                  <c:f>Performance!$Z$47</c:f>
                  <c:strCache>
                    <c:ptCount val="1"/>
                    <c:pt idx="0">
                      <c:v>Landing</c:v>
                    </c:pt>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layout/>
                  <c15:dlblFieldTable>
                    <c15:dlblFTEntry>
                      <c15:txfldGUID>{423F8835-119F-48AE-97FD-DE92716BA083}</c15:txfldGUID>
                      <c15:f>Performance!$Z$47</c15:f>
                      <c15:dlblFieldTableCache>
                        <c:ptCount val="1"/>
                        <c:pt idx="0">
                          <c:v>Landing</c:v>
                        </c:pt>
                      </c15:dlblFieldTableCache>
                    </c15:dlblFTEntry>
                  </c15:dlblFieldTable>
                  <c15:showDataLabelsRange val="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Performance!$C$48:$AB$48</c:f>
              <c:numCache>
                <c:formatCode>General</c:formatCode>
                <c:ptCount val="26"/>
                <c:pt idx="0">
                  <c:v>15</c:v>
                </c:pt>
                <c:pt idx="1">
                  <c:v>20</c:v>
                </c:pt>
                <c:pt idx="2">
                  <c:v>25</c:v>
                </c:pt>
                <c:pt idx="3">
                  <c:v>30</c:v>
                </c:pt>
                <c:pt idx="4">
                  <c:v>35</c:v>
                </c:pt>
                <c:pt idx="5">
                  <c:v>40</c:v>
                </c:pt>
                <c:pt idx="6">
                  <c:v>45</c:v>
                </c:pt>
                <c:pt idx="7">
                  <c:v>50</c:v>
                </c:pt>
                <c:pt idx="8">
                  <c:v>55</c:v>
                </c:pt>
                <c:pt idx="9">
                  <c:v>60</c:v>
                </c:pt>
                <c:pt idx="10">
                  <c:v>65</c:v>
                </c:pt>
                <c:pt idx="11">
                  <c:v>70</c:v>
                </c:pt>
                <c:pt idx="12">
                  <c:v>75</c:v>
                </c:pt>
                <c:pt idx="13">
                  <c:v>80</c:v>
                </c:pt>
                <c:pt idx="14">
                  <c:v>85</c:v>
                </c:pt>
                <c:pt idx="15">
                  <c:v>90</c:v>
                </c:pt>
                <c:pt idx="16">
                  <c:v>95</c:v>
                </c:pt>
                <c:pt idx="17">
                  <c:v>100</c:v>
                </c:pt>
                <c:pt idx="18">
                  <c:v>105</c:v>
                </c:pt>
                <c:pt idx="19">
                  <c:v>110</c:v>
                </c:pt>
                <c:pt idx="20">
                  <c:v>115</c:v>
                </c:pt>
                <c:pt idx="21">
                  <c:v>120</c:v>
                </c:pt>
                <c:pt idx="22">
                  <c:v>105.84205150857743</c:v>
                </c:pt>
                <c:pt idx="23">
                  <c:v>105.84205150857743</c:v>
                </c:pt>
                <c:pt idx="24">
                  <c:v>87.468250794658715</c:v>
                </c:pt>
                <c:pt idx="25">
                  <c:v>87.468250794658715</c:v>
                </c:pt>
              </c:numCache>
            </c:numRef>
          </c:xVal>
          <c:yVal>
            <c:numRef>
              <c:f>Performance!$C$54:$Z$54</c:f>
              <c:numCache>
                <c:formatCode>General</c:formatCode>
                <c:ptCount val="24"/>
                <c:pt idx="22">
                  <c:v>0</c:v>
                </c:pt>
                <c:pt idx="23">
                  <c:v>0.81080210779008022</c:v>
                </c:pt>
              </c:numCache>
            </c:numRef>
          </c:yVal>
          <c:smooth val="0"/>
        </c:ser>
        <c:ser>
          <c:idx val="2"/>
          <c:order val="2"/>
          <c:spPr>
            <a:ln w="12700">
              <a:solidFill>
                <a:srgbClr val="00FFFF"/>
              </a:solidFill>
              <a:prstDash val="solid"/>
            </a:ln>
          </c:spPr>
          <c:marker>
            <c:symbol val="none"/>
          </c:marker>
          <c:dLbls>
            <c:dLbl>
              <c:idx val="0"/>
              <c:tx>
                <c:rich>
                  <a:bodyPr/>
                  <a:lstStyle/>
                  <a:p>
                    <a:fld id="{3FA4FE44-DF06-4EDF-8DD0-CEF64B338784}"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Lst>
            </c:dLbl>
            <c:dLbl>
              <c:idx val="1"/>
              <c:layout/>
              <c:tx>
                <c:rich>
                  <a:bodyPr/>
                  <a:lstStyle/>
                  <a:p>
                    <a:fld id="{5116887D-FDD0-48A7-8F29-066B4E852071}"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2"/>
              <c:layout/>
              <c:tx>
                <c:rich>
                  <a:bodyPr/>
                  <a:lstStyle/>
                  <a:p>
                    <a:fld id="{064D2340-FB70-46EC-AB0F-3DA0761D2F31}"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3"/>
              <c:layout/>
              <c:tx>
                <c:rich>
                  <a:bodyPr/>
                  <a:lstStyle/>
                  <a:p>
                    <a:fld id="{98EEBBDE-2103-41D9-BD22-5572BBBD429E}"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4"/>
              <c:layout/>
              <c:tx>
                <c:rich>
                  <a:bodyPr/>
                  <a:lstStyle/>
                  <a:p>
                    <a:fld id="{84B6F480-59E5-452D-8F41-C2465CF349D1}"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5"/>
              <c:layout/>
              <c:tx>
                <c:rich>
                  <a:bodyPr/>
                  <a:lstStyle/>
                  <a:p>
                    <a:fld id="{597204A1-41E4-4C4A-AF27-25259FDC479B}"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6"/>
              <c:layout/>
              <c:tx>
                <c:rich>
                  <a:bodyPr/>
                  <a:lstStyle/>
                  <a:p>
                    <a:fld id="{D1E007AF-AB5F-4D38-8BB3-6C0659FB6024}"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7"/>
              <c:layout/>
              <c:tx>
                <c:rich>
                  <a:bodyPr/>
                  <a:lstStyle/>
                  <a:p>
                    <a:fld id="{1A155680-2580-49A0-B8A6-40AF7A0731A9}"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8"/>
              <c:layout/>
              <c:tx>
                <c:rich>
                  <a:bodyPr/>
                  <a:lstStyle/>
                  <a:p>
                    <a:fld id="{B6E78126-4BA5-4B6E-8033-4E22FBB14E49}"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9"/>
              <c:layout/>
              <c:tx>
                <c:rich>
                  <a:bodyPr/>
                  <a:lstStyle/>
                  <a:p>
                    <a:fld id="{EA8C4B8F-5456-4F18-BA9B-8FDC888A2BAA}"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10"/>
              <c:layout/>
              <c:tx>
                <c:rich>
                  <a:bodyPr/>
                  <a:lstStyle/>
                  <a:p>
                    <a:fld id="{EB2F25C1-E5F8-4E6A-9AA2-D41063D92C4A}"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11"/>
              <c:layout/>
              <c:tx>
                <c:rich>
                  <a:bodyPr/>
                  <a:lstStyle/>
                  <a:p>
                    <a:fld id="{03C9059F-4966-462C-9A2E-F234DFBA56A3}"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12"/>
              <c:layout/>
              <c:tx>
                <c:rich>
                  <a:bodyPr/>
                  <a:lstStyle/>
                  <a:p>
                    <a:fld id="{9FAE980C-D664-4262-9CE4-CB2C250590E7}"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13"/>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4"/>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5"/>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6"/>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7"/>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8"/>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9"/>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20"/>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21"/>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spPr>
              <a:noFill/>
              <a:ln>
                <a:noFill/>
              </a:ln>
              <a:effectLst/>
            </c:spPr>
            <c:dLblPos val="t"/>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xVal>
            <c:numRef>
              <c:f>Performance!$C$48:$AB$48</c:f>
              <c:numCache>
                <c:formatCode>General</c:formatCode>
                <c:ptCount val="26"/>
                <c:pt idx="0">
                  <c:v>15</c:v>
                </c:pt>
                <c:pt idx="1">
                  <c:v>20</c:v>
                </c:pt>
                <c:pt idx="2">
                  <c:v>25</c:v>
                </c:pt>
                <c:pt idx="3">
                  <c:v>30</c:v>
                </c:pt>
                <c:pt idx="4">
                  <c:v>35</c:v>
                </c:pt>
                <c:pt idx="5">
                  <c:v>40</c:v>
                </c:pt>
                <c:pt idx="6">
                  <c:v>45</c:v>
                </c:pt>
                <c:pt idx="7">
                  <c:v>50</c:v>
                </c:pt>
                <c:pt idx="8">
                  <c:v>55</c:v>
                </c:pt>
                <c:pt idx="9">
                  <c:v>60</c:v>
                </c:pt>
                <c:pt idx="10">
                  <c:v>65</c:v>
                </c:pt>
                <c:pt idx="11">
                  <c:v>70</c:v>
                </c:pt>
                <c:pt idx="12">
                  <c:v>75</c:v>
                </c:pt>
                <c:pt idx="13">
                  <c:v>80</c:v>
                </c:pt>
                <c:pt idx="14">
                  <c:v>85</c:v>
                </c:pt>
                <c:pt idx="15">
                  <c:v>90</c:v>
                </c:pt>
                <c:pt idx="16">
                  <c:v>95</c:v>
                </c:pt>
                <c:pt idx="17">
                  <c:v>100</c:v>
                </c:pt>
                <c:pt idx="18">
                  <c:v>105</c:v>
                </c:pt>
                <c:pt idx="19">
                  <c:v>110</c:v>
                </c:pt>
                <c:pt idx="20">
                  <c:v>115</c:v>
                </c:pt>
                <c:pt idx="21">
                  <c:v>120</c:v>
                </c:pt>
                <c:pt idx="22">
                  <c:v>105.84205150857743</c:v>
                </c:pt>
                <c:pt idx="23">
                  <c:v>105.84205150857743</c:v>
                </c:pt>
                <c:pt idx="24">
                  <c:v>87.468250794658715</c:v>
                </c:pt>
                <c:pt idx="25">
                  <c:v>87.468250794658715</c:v>
                </c:pt>
              </c:numCache>
            </c:numRef>
          </c:xVal>
          <c:yVal>
            <c:numRef>
              <c:f>Performance!$C$56:$X$56</c:f>
              <c:numCache>
                <c:formatCode>General</c:formatCode>
                <c:ptCount val="22"/>
                <c:pt idx="0">
                  <c:v>0.27071652812976033</c:v>
                </c:pt>
                <c:pt idx="1">
                  <c:v>0.27071652812976033</c:v>
                </c:pt>
                <c:pt idx="2">
                  <c:v>0.27071652812976033</c:v>
                </c:pt>
                <c:pt idx="3">
                  <c:v>0.27071652812976033</c:v>
                </c:pt>
                <c:pt idx="4">
                  <c:v>0.27071652812976033</c:v>
                </c:pt>
                <c:pt idx="5">
                  <c:v>0.27071652812976033</c:v>
                </c:pt>
                <c:pt idx="6">
                  <c:v>0.27071652812976033</c:v>
                </c:pt>
                <c:pt idx="7">
                  <c:v>0.27071652812976033</c:v>
                </c:pt>
                <c:pt idx="8">
                  <c:v>0.27071652812976033</c:v>
                </c:pt>
                <c:pt idx="9">
                  <c:v>0.27071652812976033</c:v>
                </c:pt>
                <c:pt idx="10">
                  <c:v>0.27071652812976033</c:v>
                </c:pt>
                <c:pt idx="11">
                  <c:v>0.27071652812976033</c:v>
                </c:pt>
                <c:pt idx="12">
                  <c:v>0.27071652812976033</c:v>
                </c:pt>
                <c:pt idx="13">
                  <c:v>0.27071652812976033</c:v>
                </c:pt>
                <c:pt idx="14">
                  <c:v>0.27071652812976033</c:v>
                </c:pt>
                <c:pt idx="15">
                  <c:v>0.27071652812976033</c:v>
                </c:pt>
                <c:pt idx="16">
                  <c:v>0.27071652812976033</c:v>
                </c:pt>
                <c:pt idx="17">
                  <c:v>0.27071652812976033</c:v>
                </c:pt>
                <c:pt idx="18">
                  <c:v>0.27071652812976033</c:v>
                </c:pt>
                <c:pt idx="19">
                  <c:v>0.27071652812976033</c:v>
                </c:pt>
                <c:pt idx="20">
                  <c:v>0.27071652812976033</c:v>
                </c:pt>
                <c:pt idx="21">
                  <c:v>0.27071652812976033</c:v>
                </c:pt>
              </c:numCache>
            </c:numRef>
          </c:yVal>
          <c:smooth val="0"/>
          <c:extLst>
            <c:ext xmlns:c15="http://schemas.microsoft.com/office/drawing/2012/chart" uri="{02D57815-91ED-43cb-92C2-25804820EDAC}">
              <c15:datalabelsRange>
                <c15:f>Performance!$B$82:$N$82</c15:f>
                <c15:dlblRangeCache>
                  <c:ptCount val="13"/>
                  <c:pt idx="1">
                    <c:v>FAR Part 25 climb</c:v>
                  </c:pt>
                </c15:dlblRangeCache>
              </c15:datalabelsRange>
            </c:ext>
          </c:extLst>
        </c:ser>
        <c:dLbls>
          <c:showLegendKey val="0"/>
          <c:showVal val="0"/>
          <c:showCatName val="0"/>
          <c:showSerName val="0"/>
          <c:showPercent val="0"/>
          <c:showBubbleSize val="0"/>
        </c:dLbls>
        <c:axId val="350373824"/>
        <c:axId val="350374216"/>
      </c:scatterChart>
      <c:valAx>
        <c:axId val="350373824"/>
        <c:scaling>
          <c:orientation val="minMax"/>
        </c:scaling>
        <c:delete val="0"/>
        <c:axPos val="b"/>
        <c:title>
          <c:tx>
            <c:rich>
              <a:bodyPr/>
              <a:lstStyle/>
              <a:p>
                <a:pPr>
                  <a:defRPr sz="1000" b="0" i="0" u="none" strike="noStrike" baseline="0">
                    <a:solidFill>
                      <a:srgbClr val="000000"/>
                    </a:solidFill>
                    <a:latin typeface="Arial"/>
                    <a:ea typeface="Arial"/>
                    <a:cs typeface="Arial"/>
                  </a:defRPr>
                </a:pPr>
                <a:r>
                  <a:rPr lang="en-US"/>
                  <a:t>TAKEOFF WING LOADING, W/S [LB/FT²]</a:t>
                </a:r>
              </a:p>
            </c:rich>
          </c:tx>
          <c:layout>
            <c:manualLayout>
              <c:xMode val="edge"/>
              <c:yMode val="edge"/>
              <c:x val="0.38512763596004462"/>
              <c:y val="0.94453507340946163"/>
            </c:manualLayout>
          </c:layout>
          <c:overlay val="0"/>
          <c:spPr>
            <a:noFill/>
            <a:ln w="25400">
              <a:noFill/>
            </a:ln>
          </c:spPr>
        </c:title>
        <c:numFmt formatCode="General" sourceLinked="1"/>
        <c:majorTickMark val="in"/>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50374216"/>
        <c:crosses val="autoZero"/>
        <c:crossBetween val="midCat"/>
      </c:valAx>
      <c:valAx>
        <c:axId val="350374216"/>
        <c:scaling>
          <c:orientation val="minMax"/>
        </c:scaling>
        <c:delete val="0"/>
        <c:axPos val="l"/>
        <c:title>
          <c:tx>
            <c:rich>
              <a:bodyPr/>
              <a:lstStyle/>
              <a:p>
                <a:pPr>
                  <a:defRPr sz="1000" b="0" i="0" u="none" strike="noStrike" baseline="0">
                    <a:solidFill>
                      <a:srgbClr val="000000"/>
                    </a:solidFill>
                    <a:latin typeface="Arial"/>
                    <a:ea typeface="Arial"/>
                    <a:cs typeface="Arial"/>
                  </a:defRPr>
                </a:pPr>
                <a:r>
                  <a:rPr lang="en-US"/>
                  <a:t>TAKEOFF THRUST/WEIGHT RATIO</a:t>
                </a:r>
              </a:p>
            </c:rich>
          </c:tx>
          <c:layout>
            <c:manualLayout>
              <c:xMode val="edge"/>
              <c:yMode val="edge"/>
              <c:x val="1.2208657047724751E-2"/>
              <c:y val="0.3425774877650898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50373824"/>
        <c:crosses val="autoZero"/>
        <c:crossBetween val="midCat"/>
      </c:valAx>
      <c:spPr>
        <a:solidFill>
          <a:schemeClr val="bg1"/>
        </a:solidFill>
        <a:ln w="25400">
          <a:noFill/>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n-US"/>
              <a:t>STRUCTURAL WEIGHT BREAKDOWN</a:t>
            </a:r>
          </a:p>
        </c:rich>
      </c:tx>
      <c:layout>
        <c:manualLayout>
          <c:xMode val="edge"/>
          <c:yMode val="edge"/>
          <c:x val="0.37069922308546072"/>
          <c:y val="1.9575856443719418E-2"/>
        </c:manualLayout>
      </c:layout>
      <c:overlay val="0"/>
      <c:spPr>
        <a:noFill/>
        <a:ln w="25400">
          <a:noFill/>
        </a:ln>
      </c:spPr>
    </c:title>
    <c:autoTitleDeleted val="0"/>
    <c:plotArea>
      <c:layout>
        <c:manualLayout>
          <c:layoutTarget val="inner"/>
          <c:xMode val="edge"/>
          <c:yMode val="edge"/>
          <c:x val="0.27192008879023316"/>
          <c:y val="0.2039151712887439"/>
          <c:w val="0.45615982241953379"/>
          <c:h val="0.67047308319738985"/>
        </c:manualLayout>
      </c:layout>
      <c:pieChart>
        <c:varyColors val="1"/>
        <c:ser>
          <c:idx val="0"/>
          <c:order val="0"/>
          <c:spPr>
            <a:solidFill>
              <a:srgbClr val="9999FF"/>
            </a:solidFill>
            <a:ln w="12700">
              <a:solidFill>
                <a:srgbClr val="000000"/>
              </a:solidFill>
              <a:prstDash val="solid"/>
            </a:ln>
          </c:spPr>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Lbls>
            <c:numFmt formatCode="0%" sourceLinked="0"/>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cat>
            <c:strRef>
              <c:f>'Wt &amp; Balance'!$A$96:$A$101</c:f>
              <c:strCache>
                <c:ptCount val="6"/>
                <c:pt idx="0">
                  <c:v> 5.1 Wing </c:v>
                </c:pt>
                <c:pt idx="1">
                  <c:v> 5.2 Horizontal Tail</c:v>
                </c:pt>
                <c:pt idx="2">
                  <c:v> 5.2 Vertical Tail</c:v>
                </c:pt>
                <c:pt idx="3">
                  <c:v> 5.3 Fuselage</c:v>
                </c:pt>
                <c:pt idx="4">
                  <c:v> 5.4 Nacelles</c:v>
                </c:pt>
                <c:pt idx="5">
                  <c:v> 5.5 Landing gear</c:v>
                </c:pt>
              </c:strCache>
            </c:strRef>
          </c:cat>
          <c:val>
            <c:numRef>
              <c:f>'Wt &amp; Balance'!$C$96:$C$101</c:f>
              <c:numCache>
                <c:formatCode>0_)</c:formatCode>
                <c:ptCount val="6"/>
                <c:pt idx="0">
                  <c:v>0</c:v>
                </c:pt>
                <c:pt idx="1">
                  <c:v>468.60925424064538</c:v>
                </c:pt>
                <c:pt idx="2">
                  <c:v>1708.8703500779718</c:v>
                </c:pt>
                <c:pt idx="3">
                  <c:v>3395.4100928268213</c:v>
                </c:pt>
                <c:pt idx="4">
                  <c:v>1035.6449252341115</c:v>
                </c:pt>
                <c:pt idx="5">
                  <c:v>1578.7156746637925</c:v>
                </c:pt>
              </c:numCache>
            </c:numRef>
          </c:val>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dPt>
          <c:dLbls>
            <c:delete val="1"/>
          </c:dLbls>
          <c:cat>
            <c:strRef>
              <c:f>'Wt &amp; Balance'!$A$96:$A$101</c:f>
              <c:strCache>
                <c:ptCount val="6"/>
                <c:pt idx="0">
                  <c:v> 5.1 Wing </c:v>
                </c:pt>
                <c:pt idx="1">
                  <c:v> 5.2 Horizontal Tail</c:v>
                </c:pt>
                <c:pt idx="2">
                  <c:v> 5.2 Vertical Tail</c:v>
                </c:pt>
                <c:pt idx="3">
                  <c:v> 5.3 Fuselage</c:v>
                </c:pt>
                <c:pt idx="4">
                  <c:v> 5.4 Nacelles</c:v>
                </c:pt>
                <c:pt idx="5">
                  <c:v> 5.5 Landing gear</c:v>
                </c:pt>
              </c:strCache>
            </c:strRef>
          </c:cat>
          <c:val>
            <c:numRef>
              <c:f>CHALENGR!#REF!</c:f>
              <c:numCache>
                <c:formatCode>General</c:formatCode>
                <c:ptCount val="1"/>
                <c:pt idx="0">
                  <c:v>1</c:v>
                </c:pt>
              </c:numCache>
            </c:numRef>
          </c:val>
        </c:ser>
        <c:ser>
          <c:idx val="2"/>
          <c:order val="2"/>
          <c:spPr>
            <a:solidFill>
              <a:srgbClr val="FFFFCC"/>
            </a:solidFill>
            <a:ln w="12700">
              <a:solidFill>
                <a:srgbClr val="000000"/>
              </a:solidFill>
              <a:prstDash val="solid"/>
            </a:ln>
          </c:spPr>
          <c:dPt>
            <c:idx val="0"/>
            <c:bubble3D val="0"/>
            <c:spPr>
              <a:solidFill>
                <a:srgbClr val="9999FF"/>
              </a:solidFill>
              <a:ln w="12700">
                <a:solidFill>
                  <a:srgbClr val="000000"/>
                </a:solidFill>
                <a:prstDash val="solid"/>
              </a:ln>
            </c:spPr>
          </c:dPt>
          <c:dLbls>
            <c:delete val="1"/>
          </c:dLbls>
          <c:cat>
            <c:strRef>
              <c:f>'Wt &amp; Balance'!$A$96:$A$101</c:f>
              <c:strCache>
                <c:ptCount val="6"/>
                <c:pt idx="0">
                  <c:v> 5.1 Wing </c:v>
                </c:pt>
                <c:pt idx="1">
                  <c:v> 5.2 Horizontal Tail</c:v>
                </c:pt>
                <c:pt idx="2">
                  <c:v> 5.2 Vertical Tail</c:v>
                </c:pt>
                <c:pt idx="3">
                  <c:v> 5.3 Fuselage</c:v>
                </c:pt>
                <c:pt idx="4">
                  <c:v> 5.4 Nacelles</c:v>
                </c:pt>
                <c:pt idx="5">
                  <c:v> 5.5 Landing gear</c:v>
                </c:pt>
              </c:strCache>
            </c:strRef>
          </c:cat>
          <c:val>
            <c:numRef>
              <c:f>CHALENGR!#REF!</c:f>
              <c:numCache>
                <c:formatCode>General</c:formatCode>
                <c:ptCount val="1"/>
                <c:pt idx="0">
                  <c:v>1</c:v>
                </c:pt>
              </c:numCache>
            </c:numRef>
          </c:val>
        </c:ser>
        <c:ser>
          <c:idx val="3"/>
          <c:order val="3"/>
          <c:spPr>
            <a:solidFill>
              <a:srgbClr val="CCFFFF"/>
            </a:solidFill>
            <a:ln w="12700">
              <a:solidFill>
                <a:srgbClr val="000000"/>
              </a:solidFill>
              <a:prstDash val="solid"/>
            </a:ln>
          </c:spPr>
          <c:dPt>
            <c:idx val="0"/>
            <c:bubble3D val="0"/>
            <c:spPr>
              <a:solidFill>
                <a:srgbClr val="9999FF"/>
              </a:solidFill>
              <a:ln w="12700">
                <a:solidFill>
                  <a:srgbClr val="000000"/>
                </a:solidFill>
                <a:prstDash val="solid"/>
              </a:ln>
            </c:spPr>
          </c:dPt>
          <c:dLbls>
            <c:delete val="1"/>
          </c:dLbls>
          <c:cat>
            <c:strRef>
              <c:f>'Wt &amp; Balance'!$A$96:$A$101</c:f>
              <c:strCache>
                <c:ptCount val="6"/>
                <c:pt idx="0">
                  <c:v> 5.1 Wing </c:v>
                </c:pt>
                <c:pt idx="1">
                  <c:v> 5.2 Horizontal Tail</c:v>
                </c:pt>
                <c:pt idx="2">
                  <c:v> 5.2 Vertical Tail</c:v>
                </c:pt>
                <c:pt idx="3">
                  <c:v> 5.3 Fuselage</c:v>
                </c:pt>
                <c:pt idx="4">
                  <c:v> 5.4 Nacelles</c:v>
                </c:pt>
                <c:pt idx="5">
                  <c:v> 5.5 Landing gear</c:v>
                </c:pt>
              </c:strCache>
            </c:strRef>
          </c:cat>
          <c:val>
            <c:numRef>
              <c:f>CHALENGR!#REF!</c:f>
              <c:numCache>
                <c:formatCode>General</c:formatCode>
                <c:ptCount val="1"/>
                <c:pt idx="0">
                  <c:v>1</c:v>
                </c:pt>
              </c:numCache>
            </c:numRef>
          </c:val>
        </c:ser>
        <c:ser>
          <c:idx val="4"/>
          <c:order val="4"/>
          <c:spPr>
            <a:solidFill>
              <a:srgbClr val="660066"/>
            </a:solidFill>
            <a:ln w="12700">
              <a:solidFill>
                <a:srgbClr val="000000"/>
              </a:solidFill>
              <a:prstDash val="solid"/>
            </a:ln>
          </c:spPr>
          <c:dPt>
            <c:idx val="0"/>
            <c:bubble3D val="0"/>
            <c:spPr>
              <a:solidFill>
                <a:srgbClr val="9999FF"/>
              </a:solidFill>
              <a:ln w="12700">
                <a:solidFill>
                  <a:srgbClr val="000000"/>
                </a:solidFill>
                <a:prstDash val="solid"/>
              </a:ln>
            </c:spPr>
          </c:dPt>
          <c:dLbls>
            <c:delete val="1"/>
          </c:dLbls>
          <c:cat>
            <c:strRef>
              <c:f>'Wt &amp; Balance'!$A$96:$A$101</c:f>
              <c:strCache>
                <c:ptCount val="6"/>
                <c:pt idx="0">
                  <c:v> 5.1 Wing </c:v>
                </c:pt>
                <c:pt idx="1">
                  <c:v> 5.2 Horizontal Tail</c:v>
                </c:pt>
                <c:pt idx="2">
                  <c:v> 5.2 Vertical Tail</c:v>
                </c:pt>
                <c:pt idx="3">
                  <c:v> 5.3 Fuselage</c:v>
                </c:pt>
                <c:pt idx="4">
                  <c:v> 5.4 Nacelles</c:v>
                </c:pt>
                <c:pt idx="5">
                  <c:v> 5.5 Landing gear</c:v>
                </c:pt>
              </c:strCache>
            </c:strRef>
          </c:cat>
          <c:val>
            <c:numRef>
              <c:f>CHALENGR!#REF!</c:f>
              <c:numCache>
                <c:formatCode>General</c:formatCode>
                <c:ptCount val="1"/>
                <c:pt idx="0">
                  <c:v>1</c:v>
                </c:pt>
              </c:numCache>
            </c:numRef>
          </c:val>
        </c:ser>
        <c:ser>
          <c:idx val="5"/>
          <c:order val="5"/>
          <c:spPr>
            <a:solidFill>
              <a:srgbClr val="FF8080"/>
            </a:solidFill>
            <a:ln w="12700">
              <a:solidFill>
                <a:srgbClr val="000000"/>
              </a:solidFill>
              <a:prstDash val="solid"/>
            </a:ln>
          </c:spPr>
          <c:dPt>
            <c:idx val="0"/>
            <c:bubble3D val="0"/>
            <c:spPr>
              <a:solidFill>
                <a:srgbClr val="9999FF"/>
              </a:solidFill>
              <a:ln w="12700">
                <a:solidFill>
                  <a:srgbClr val="000000"/>
                </a:solidFill>
                <a:prstDash val="solid"/>
              </a:ln>
            </c:spPr>
          </c:dPt>
          <c:dLbls>
            <c:delete val="1"/>
          </c:dLbls>
          <c:cat>
            <c:strRef>
              <c:f>'Wt &amp; Balance'!$A$96:$A$101</c:f>
              <c:strCache>
                <c:ptCount val="6"/>
                <c:pt idx="0">
                  <c:v> 5.1 Wing </c:v>
                </c:pt>
                <c:pt idx="1">
                  <c:v> 5.2 Horizontal Tail</c:v>
                </c:pt>
                <c:pt idx="2">
                  <c:v> 5.2 Vertical Tail</c:v>
                </c:pt>
                <c:pt idx="3">
                  <c:v> 5.3 Fuselage</c:v>
                </c:pt>
                <c:pt idx="4">
                  <c:v> 5.4 Nacelles</c:v>
                </c:pt>
                <c:pt idx="5">
                  <c:v> 5.5 Landing gear</c:v>
                </c:pt>
              </c:strCache>
            </c:strRef>
          </c:cat>
          <c:val>
            <c:numRef>
              <c:f>CHALENGR!#REF!</c:f>
              <c:numCache>
                <c:formatCode>General</c:formatCode>
                <c:ptCount val="1"/>
                <c:pt idx="0">
                  <c:v>1</c:v>
                </c:pt>
              </c:numCache>
            </c:numRef>
          </c:val>
        </c:ser>
        <c:dLbls>
          <c:showLegendKey val="0"/>
          <c:showVal val="0"/>
          <c:showCatName val="0"/>
          <c:showSerName val="0"/>
          <c:showPercent val="1"/>
          <c:showBubbleSize val="0"/>
          <c:showLeaderLines val="1"/>
        </c:dLbls>
        <c:firstSliceAng val="0"/>
      </c:pieChart>
      <c:spPr>
        <a:solidFill>
          <a:srgbClr val="C0C0C0"/>
        </a:solidFill>
        <a:ln w="12700">
          <a:solidFill>
            <a:srgbClr val="808080"/>
          </a:solidFill>
          <a:prstDash val="solid"/>
        </a:ln>
      </c:spPr>
    </c:plotArea>
    <c:plotVisOnly val="0"/>
    <c:dispBlanksAs val="zero"/>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n-US"/>
              <a:t>DRAG POLARS</a:t>
            </a:r>
          </a:p>
        </c:rich>
      </c:tx>
      <c:layout>
        <c:manualLayout>
          <c:xMode val="edge"/>
          <c:yMode val="edge"/>
          <c:x val="0.4450610432852386"/>
          <c:y val="1.9575856443719418E-2"/>
        </c:manualLayout>
      </c:layout>
      <c:overlay val="0"/>
      <c:spPr>
        <a:noFill/>
        <a:ln w="25400">
          <a:noFill/>
        </a:ln>
      </c:spPr>
    </c:title>
    <c:autoTitleDeleted val="0"/>
    <c:plotArea>
      <c:layout>
        <c:manualLayout>
          <c:layoutTarget val="inner"/>
          <c:xMode val="edge"/>
          <c:yMode val="edge"/>
          <c:x val="7.1032186459489471E-2"/>
          <c:y val="0.11256117455138664"/>
          <c:w val="0.90233074361820198"/>
          <c:h val="0.78140293637846669"/>
        </c:manualLayout>
      </c:layout>
      <c:scatterChart>
        <c:scatterStyle val="lineMarker"/>
        <c:varyColors val="0"/>
        <c:ser>
          <c:idx val="0"/>
          <c:order val="0"/>
          <c:spPr>
            <a:ln w="12700">
              <a:solidFill>
                <a:srgbClr val="0000FF"/>
              </a:solidFill>
              <a:prstDash val="solid"/>
            </a:ln>
          </c:spPr>
          <c:marker>
            <c:symbol val="none"/>
          </c:marker>
          <c:dLbls>
            <c:dLbl>
              <c:idx val="0"/>
              <c:tx>
                <c:strRef>
                  <c:f>Aerodynamics!$C$43</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{BD749E46-93BE-4A39-ACC1-33698AF1955D}</c15:txfldGUID>
                      <c15:f>Aerodynamics!$C$43</c15:f>
                      <c15:dlblFieldTableCache>
                        <c:ptCount val="1"/>
                      </c15:dlblFieldTableCache>
                    </c15:dlblFTEntry>
                  </c15:dlblFieldTable>
                  <c15:showDataLabelsRange val="0"/>
                </c:ext>
              </c:extLst>
            </c:dLbl>
            <c:dLbl>
              <c:idx val="1"/>
              <c:tx>
                <c:strRef>
                  <c:f>Aerodynamics!$D$43</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{D50B6AC6-1B4C-49B9-9F05-1A69E70B380E}</c15:txfldGUID>
                      <c15:f>Aerodynamics!$D$43</c15:f>
                      <c15:dlblFieldTableCache>
                        <c:ptCount val="1"/>
                      </c15:dlblFieldTableCache>
                    </c15:dlblFTEntry>
                  </c15:dlblFieldTable>
                  <c15:showDataLabelsRange val="0"/>
                </c:ext>
              </c:extLst>
            </c:dLbl>
            <c:dLbl>
              <c:idx val="2"/>
              <c:tx>
                <c:strRef>
                  <c:f>Aerodynamics!$E$43</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{D803F508-410D-4738-8AD9-4B034219BA61}</c15:txfldGUID>
                      <c15:f>Aerodynamics!$E$43</c15:f>
                      <c15:dlblFieldTableCache>
                        <c:ptCount val="1"/>
                      </c15:dlblFieldTableCache>
                    </c15:dlblFTEntry>
                  </c15:dlblFieldTable>
                  <c15:showDataLabelsRange val="0"/>
                </c:ext>
              </c:extLst>
            </c:dLbl>
            <c:dLbl>
              <c:idx val="3"/>
              <c:tx>
                <c:strRef>
                  <c:f>Aerodynamics!$F$43</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{36BA7276-2F62-428F-819E-F6F6AAFF78A0}</c15:txfldGUID>
                      <c15:f>Aerodynamics!$F$43</c15:f>
                      <c15:dlblFieldTableCache>
                        <c:ptCount val="1"/>
                      </c15:dlblFieldTableCache>
                    </c15:dlblFTEntry>
                  </c15:dlblFieldTable>
                  <c15:showDataLabelsRange val="0"/>
                </c:ext>
              </c:extLst>
            </c:dLbl>
            <c:dLbl>
              <c:idx val="4"/>
              <c:tx>
                <c:strRef>
                  <c:f>Aerodynamics!$G$43</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{3D1F0EF9-3901-435C-91A4-8B49B74DFF21}</c15:txfldGUID>
                      <c15:f>Aerodynamics!$G$43</c15:f>
                      <c15:dlblFieldTableCache>
                        <c:ptCount val="1"/>
                      </c15:dlblFieldTableCache>
                    </c15:dlblFTEntry>
                  </c15:dlblFieldTable>
                  <c15:showDataLabelsRange val="0"/>
                </c:ext>
              </c:extLst>
            </c:dLbl>
            <c:dLbl>
              <c:idx val="5"/>
              <c:tx>
                <c:strRef>
                  <c:f>Aerodynamics!$H$43</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{FC17DE6B-36AC-43B4-AF14-781FBD994B04}</c15:txfldGUID>
                      <c15:f>Aerodynamics!$H$43</c15:f>
                      <c15:dlblFieldTableCache>
                        <c:ptCount val="1"/>
                      </c15:dlblFieldTableCache>
                    </c15:dlblFTEntry>
                  </c15:dlblFieldTable>
                  <c15:showDataLabelsRange val="0"/>
                </c:ext>
              </c:extLst>
            </c:dLbl>
            <c:dLbl>
              <c:idx val="6"/>
              <c:tx>
                <c:strRef>
                  <c:f>Aerodynamics!$I$43</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{D10C4776-9BEB-4F4B-877C-A3ED29E73DCA}</c15:txfldGUID>
                      <c15:f>Aerodynamics!$I$43</c15:f>
                      <c15:dlblFieldTableCache>
                        <c:ptCount val="1"/>
                      </c15:dlblFieldTableCache>
                    </c15:dlblFTEntry>
                  </c15:dlblFieldTable>
                  <c15:showDataLabelsRange val="0"/>
                </c:ext>
              </c:extLst>
            </c:dLbl>
            <c:dLbl>
              <c:idx val="7"/>
              <c:tx>
                <c:strRef>
                  <c:f>Aerodynamics!$J$43</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{B74ABE1E-2E20-474B-817E-4562F5AEFAC4}</c15:txfldGUID>
                      <c15:f>Aerodynamics!$J$43</c15:f>
                      <c15:dlblFieldTableCache>
                        <c:ptCount val="1"/>
                      </c15:dlblFieldTableCache>
                    </c15:dlblFTEntry>
                  </c15:dlblFieldTable>
                  <c15:showDataLabelsRange val="0"/>
                </c:ext>
              </c:extLst>
            </c:dLbl>
            <c:dLbl>
              <c:idx val="8"/>
              <c:tx>
                <c:strRef>
                  <c:f>Aerodynamics!$K$43</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{5BE91E45-E579-4CA5-B352-FA52E4AF7428}</c15:txfldGUID>
                      <c15:f>Aerodynamics!$K$43</c15:f>
                      <c15:dlblFieldTableCache>
                        <c:ptCount val="1"/>
                      </c15:dlblFieldTableCache>
                    </c15:dlblFTEntry>
                  </c15:dlblFieldTable>
                  <c15:showDataLabelsRange val="0"/>
                </c:ext>
              </c:extLst>
            </c:dLbl>
            <c:dLbl>
              <c:idx val="9"/>
              <c:tx>
                <c:strRef>
                  <c:f>Aerodynamics!$L$43</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{2454C831-82E4-4B61-83A0-1E589B0188CF}</c15:txfldGUID>
                      <c15:f>Aerodynamics!$L$43</c15:f>
                      <c15:dlblFieldTableCache>
                        <c:ptCount val="1"/>
                      </c15:dlblFieldTableCache>
                    </c15:dlblFTEntry>
                  </c15:dlblFieldTable>
                  <c15:showDataLabelsRange val="0"/>
                </c:ext>
              </c:extLst>
            </c:dLbl>
            <c:dLbl>
              <c:idx val="10"/>
              <c:tx>
                <c:strRef>
                  <c:f>Aerodynamics!$M$43</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{E3CD201C-6658-4AC9-BC89-6BCB03231CE2}</c15:txfldGUID>
                      <c15:f>Aerodynamics!$M$43</c15:f>
                      <c15:dlblFieldTableCache>
                        <c:ptCount val="1"/>
                      </c15:dlblFieldTableCache>
                    </c15:dlblFTEntry>
                  </c15:dlblFieldTable>
                  <c15:showDataLabelsRange val="0"/>
                </c:ext>
              </c:extLst>
            </c:dLbl>
            <c:dLbl>
              <c:idx val="11"/>
              <c:tx>
                <c:strRef>
                  <c:f>Aerodynamics!$N$43</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{7961F344-98D3-45B0-9D99-586A9BEA07F5}</c15:txfldGUID>
                      <c15:f>Aerodynamics!$N$43</c15:f>
                      <c15:dlblFieldTableCache>
                        <c:ptCount val="1"/>
                      </c15:dlblFieldTableCache>
                    </c15:dlblFTEntry>
                  </c15:dlblFieldTable>
                  <c15:showDataLabelsRange val="0"/>
                </c:ext>
              </c:extLst>
            </c:dLbl>
            <c:dLbl>
              <c:idx val="12"/>
              <c:tx>
                <c:strRef>
                  <c:f>Aerodynamics!$O$43</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{44071ECF-740A-4F05-9835-1B597E635689}</c15:txfldGUID>
                      <c15:f>Aerodynamics!$O$43</c15:f>
                      <c15:dlblFieldTableCache>
                        <c:ptCount val="1"/>
                      </c15:dlblFieldTableCache>
                    </c15:dlblFTEntry>
                  </c15:dlblFieldTable>
                  <c15:showDataLabelsRange val="0"/>
                </c:ext>
              </c:extLst>
            </c:dLbl>
            <c:dLbl>
              <c:idx val="13"/>
              <c:tx>
                <c:strRef>
                  <c:f>Aerodynamics!$P$43</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{6FFCD4AE-E878-4DA3-AD98-51FA10265C17}</c15:txfldGUID>
                      <c15:f>Aerodynamics!$P$43</c15:f>
                      <c15:dlblFieldTableCache>
                        <c:ptCount val="1"/>
                      </c15:dlblFieldTableCache>
                    </c15:dlblFTEntry>
                  </c15:dlblFieldTable>
                  <c15:showDataLabelsRange val="0"/>
                </c:ext>
              </c:extLst>
            </c:dLbl>
            <c:dLbl>
              <c:idx val="14"/>
              <c:tx>
                <c:strRef>
                  <c:f>Aerodynamics!$Q$43</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{DD798C45-2DF8-4362-9743-C604FCDC292B}</c15:txfldGUID>
                      <c15:f>Aerodynamics!$Q$43</c15:f>
                      <c15:dlblFieldTableCache>
                        <c:ptCount val="1"/>
                      </c15:dlblFieldTableCache>
                    </c15:dlblFTEntry>
                  </c15:dlblFieldTable>
                  <c15:showDataLabelsRange val="0"/>
                </c:ext>
              </c:extLst>
            </c:dLbl>
            <c:dLbl>
              <c:idx val="15"/>
              <c:tx>
                <c:strRef>
                  <c:f>Aerodynamics!$R$43</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{65C52179-00E5-49DF-A082-1F2332C14678}</c15:txfldGUID>
                      <c15:f>Aerodynamics!$R$43</c15:f>
                      <c15:dlblFieldTableCache>
                        <c:ptCount val="1"/>
                      </c15:dlblFieldTableCache>
                    </c15:dlblFTEntry>
                  </c15:dlblFieldTable>
                  <c15:showDataLabelsRange val="0"/>
                </c:ext>
              </c:extLst>
            </c:dLbl>
            <c:dLbl>
              <c:idx val="16"/>
              <c:tx>
                <c:strRef>
                  <c:f>Aerodynamics!$S$43</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{61A9F1EA-63A3-44C0-BE18-381235BCF376}</c15:txfldGUID>
                      <c15:f>Aerodynamics!$S$43</c15:f>
                      <c15:dlblFieldTableCache>
                        <c:ptCount val="1"/>
                      </c15:dlblFieldTableCache>
                    </c15:dlblFTEntry>
                  </c15:dlblFieldTable>
                  <c15:showDataLabelsRange val="0"/>
                </c:ext>
              </c:extLst>
            </c:dLbl>
            <c:dLbl>
              <c:idx val="17"/>
              <c:tx>
                <c:strRef>
                  <c:f>Aerodynamics!$T$43</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{41DD5C64-F1CD-4007-9189-52AF945DDF57}</c15:txfldGUID>
                      <c15:f>Aerodynamics!$T$43</c15:f>
                      <c15:dlblFieldTableCache>
                        <c:ptCount val="1"/>
                      </c15:dlblFieldTableCache>
                    </c15:dlblFTEntry>
                  </c15:dlblFieldTable>
                  <c15:showDataLabelsRange val="0"/>
                </c:ext>
              </c:extLst>
            </c:dLbl>
            <c:dLbl>
              <c:idx val="18"/>
              <c:tx>
                <c:strRef>
                  <c:f>Aerodynamics!$U$43</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{7D78E4DE-421F-45A7-8395-1581B0480230}</c15:txfldGUID>
                      <c15:f>Aerodynamics!$U$43</c15:f>
                      <c15:dlblFieldTableCache>
                        <c:ptCount val="1"/>
                      </c15:dlblFieldTableCache>
                    </c15:dlblFTEntry>
                  </c15:dlblFieldTable>
                  <c15:showDataLabelsRange val="0"/>
                </c:ext>
              </c:extLst>
            </c:dLbl>
            <c:dLbl>
              <c:idx val="19"/>
              <c:tx>
                <c:strRef>
                  <c:f>Aerodynamics!$V$43</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{1C9C6034-AD6C-47A4-9ACB-3A6B3ADB2D2C}</c15:txfldGUID>
                      <c15:f>Aerodynamics!$V$43</c15:f>
                      <c15:dlblFieldTableCache>
                        <c:ptCount val="1"/>
                      </c15:dlblFieldTableCache>
                    </c15:dlblFTEntry>
                  </c15:dlblFieldTable>
                  <c15:showDataLabelsRange val="0"/>
                </c:ext>
              </c:extLst>
            </c:dLbl>
            <c:dLbl>
              <c:idx val="20"/>
              <c:tx>
                <c:strRef>
                  <c:f>Aerodynamics!$W$43</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{A4EC09F3-C43B-4B0A-A620-3D62D83996EE}</c15:txfldGUID>
                      <c15:f>Aerodynamics!$W$43</c15:f>
                      <c15:dlblFieldTableCache>
                        <c:ptCount val="1"/>
                      </c15:dlblFieldTableCache>
                    </c15:dlblFTEntry>
                  </c15:dlblFieldTable>
                  <c15:showDataLabelsRange val="0"/>
                </c:ext>
              </c:extLst>
            </c:dLbl>
            <c:dLbl>
              <c:idx val="21"/>
              <c:tx>
                <c:strRef>
                  <c:f>Aerodynamics!$X$43</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{C8446085-3A98-40C9-B383-D692A0F3119B}</c15:txfldGUID>
                      <c15:f>Aerodynamics!$X$43</c15:f>
                      <c15:dlblFieldTableCache>
                        <c:ptCount val="1"/>
                      </c15:dlblFieldTableCache>
                    </c15:dlblFTEntry>
                  </c15:dlblFieldTable>
                  <c15:showDataLabelsRange val="0"/>
                </c:ext>
              </c:extLst>
            </c:dLbl>
            <c:dLbl>
              <c:idx val="22"/>
              <c:tx>
                <c:strRef>
                  <c:f>Aerodynamics!$Y$43</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{67FF319F-1B93-4831-9678-DEEAF7E14390}</c15:txfldGUID>
                      <c15:f>Aerodynamics!$Y$43</c15:f>
                      <c15:dlblFieldTableCache>
                        <c:ptCount val="1"/>
                      </c15:dlblFieldTableCache>
                    </c15:dlblFTEntry>
                  </c15:dlblFieldTable>
                  <c15:showDataLabelsRange val="0"/>
                </c:ext>
              </c:extLst>
            </c:dLbl>
            <c:dLbl>
              <c:idx val="23"/>
              <c:tx>
                <c:strRef>
                  <c:f>Aerodynamics!$Z$43</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{FE659C3F-98ED-48D7-B838-DEEED73D1868}</c15:txfldGUID>
                      <c15:f>Aerodynamics!$Z$43</c15:f>
                      <c15:dlblFieldTableCache>
                        <c:ptCount val="1"/>
                      </c15:dlblFieldTableCache>
                    </c15:dlblFTEntry>
                  </c15:dlblFieldTable>
                  <c15:showDataLabelsRange val="0"/>
                </c:ext>
              </c:extLst>
            </c:dLbl>
            <c:dLbl>
              <c:idx val="24"/>
              <c:tx>
                <c:strRef>
                  <c:f>Aerodynamics!$AA$43</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{ED4146F8-80AD-4ABC-B706-6626E5DFD99B}</c15:txfldGUID>
                      <c15:f>Aerodynamics!$AA$43</c15:f>
                      <c15:dlblFieldTableCache>
                        <c:ptCount val="1"/>
                      </c15:dlblFieldTableCache>
                    </c15:dlblFTEntry>
                  </c15:dlblFieldTable>
                  <c15:showDataLabelsRange val="0"/>
                </c:ext>
              </c:extLst>
            </c:dLbl>
            <c:dLbl>
              <c:idx val="25"/>
              <c:tx>
                <c:strRef>
                  <c:f>Aerodynamics!$AB$43</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{CFA70376-1B90-4918-BC65-CA5115877679}</c15:txfldGUID>
                      <c15:f>Aerodynamics!$AB$43</c15:f>
                      <c15:dlblFieldTableCache>
                        <c:ptCount val="1"/>
                      </c15:dlblFieldTableCache>
                    </c15:dlblFTEntry>
                  </c15:dlblFieldTable>
                  <c15:showDataLabelsRange val="0"/>
                </c:ext>
              </c:extLst>
            </c:dLbl>
            <c:dLbl>
              <c:idx val="26"/>
              <c:tx>
                <c:strRef>
                  <c:f>Aerodynamics!$AC$43</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{69D58565-30F1-443E-8FB0-97FB7FE2B2AC}</c15:txfldGUID>
                      <c15:f>Aerodynamics!$AC$43</c15:f>
                      <c15:dlblFieldTableCache>
                        <c:ptCount val="1"/>
                      </c15:dlblFieldTableCache>
                    </c15:dlblFTEntry>
                  </c15:dlblFieldTable>
                  <c15:showDataLabelsRange val="0"/>
                </c:ext>
              </c:extLst>
            </c:dLbl>
            <c:dLbl>
              <c:idx val="27"/>
              <c:tx>
                <c:strRef>
                  <c:f>Aerodynamics!$AD$43</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{8B205154-A520-4DA0-AF0E-497852AB459A}</c15:txfldGUID>
                      <c15:f>Aerodynamics!$AD$43</c15:f>
                      <c15:dlblFieldTableCache>
                        <c:ptCount val="1"/>
                      </c15:dlblFieldTableCache>
                    </c15:dlblFTEntry>
                  </c15:dlblFieldTable>
                  <c15:showDataLabelsRange val="0"/>
                </c:ext>
              </c:extLst>
            </c:dLbl>
            <c:dLbl>
              <c:idx val="28"/>
              <c:tx>
                <c:strRef>
                  <c:f>Aerodynamics!$AE$43</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{EDD8DD06-8FED-47D5-92E1-1DB881C8F414}</c15:txfldGUID>
                      <c15:f>Aerodynamics!$AE$43</c15:f>
                      <c15:dlblFieldTableCache>
                        <c:ptCount val="1"/>
                      </c15:dlblFieldTableCache>
                    </c15:dlblFTEntry>
                  </c15:dlblFieldTable>
                  <c15:showDataLabelsRange val="0"/>
                </c:ext>
              </c:extLst>
            </c:dLbl>
            <c:dLbl>
              <c:idx val="29"/>
              <c:tx>
                <c:strRef>
                  <c:f>Aerodynamics!$AF$43</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{8AB72688-B54C-4F62-8301-B2BA268876EF}</c15:txfldGUID>
                      <c15:f>Aerodynamics!$AF$43</c15:f>
                      <c15:dlblFieldTableCache>
                        <c:ptCount val="1"/>
                      </c15:dlblFieldTableCache>
                    </c15:dlblFTEntry>
                  </c15:dlblFieldTable>
                  <c15:showDataLabelsRange val="0"/>
                </c:ext>
              </c:extLst>
            </c:dLbl>
            <c:dLbl>
              <c:idx val="30"/>
              <c:tx>
                <c:strRef>
                  <c:f>Aerodynamics!$AG$43</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{6A4E4E0B-48FC-4B0E-87EC-42C9DE0F17A8}</c15:txfldGUID>
                      <c15:f>Aerodynamics!$AG$43</c15:f>
                      <c15:dlblFieldTableCache>
                        <c:ptCount val="1"/>
                      </c15:dlblFieldTableCache>
                    </c15:dlblFTEntry>
                  </c15:dlblFieldTable>
                  <c15:showDataLabelsRange val="0"/>
                </c:ext>
              </c:extLst>
            </c:dLbl>
            <c:dLbl>
              <c:idx val="31"/>
              <c:tx>
                <c:strRef>
                  <c:f>Aerodynamics!$AH$43</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{DDEC281F-63DE-4CD7-B1BD-F59A202C5E64}</c15:txfldGUID>
                      <c15:f>Aerodynamics!$AH$43</c15:f>
                      <c15:dlblFieldTableCache>
                        <c:ptCount val="1"/>
                      </c15:dlblFieldTableCache>
                    </c15:dlblFTEntry>
                  </c15:dlblFieldTable>
                  <c15:showDataLabelsRange val="0"/>
                </c:ext>
              </c:extLst>
            </c:dLbl>
            <c:dLbl>
              <c:idx val="32"/>
              <c:tx>
                <c:strRef>
                  <c:f>Aerodynamics!$AI$43</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{5E905195-728B-402B-B77B-5D9476178CC2}</c15:txfldGUID>
                      <c15:f>Aerodynamics!$AI$43</c15:f>
                      <c15:dlblFieldTableCache>
                        <c:ptCount val="1"/>
                      </c15:dlblFieldTableCache>
                    </c15:dlblFTEntry>
                  </c15:dlblFieldTable>
                  <c15:showDataLabelsRange val="0"/>
                </c:ext>
              </c:extLst>
            </c:dLbl>
            <c:dLbl>
              <c:idx val="33"/>
              <c:tx>
                <c:strRef>
                  <c:f>Aerodynamics!$AJ$43</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{EBD553F0-BB23-4BEE-9898-799480177577}</c15:txfldGUID>
                      <c15:f>Aerodynamics!$AJ$43</c15:f>
                      <c15:dlblFieldTableCache>
                        <c:ptCount val="1"/>
                      </c15:dlblFieldTableCache>
                    </c15:dlblFTEntry>
                  </c15:dlblFieldTable>
                  <c15:showDataLabelsRange val="0"/>
                </c:ext>
              </c:extLst>
            </c:dLbl>
            <c:dLbl>
              <c:idx val="34"/>
              <c:tx>
                <c:strRef>
                  <c:f>Aerodynamics!$AK$43</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{8941FF03-970C-4273-8FEC-5DEF9961DFAE}</c15:txfldGUID>
                      <c15:f>Aerodynamics!$AK$43</c15:f>
                      <c15:dlblFieldTableCache>
                        <c:ptCount val="1"/>
                      </c15:dlblFieldTableCache>
                    </c15:dlblFTEntry>
                  </c15:dlblFieldTable>
                  <c15:showDataLabelsRange val="0"/>
                </c:ext>
              </c:extLst>
            </c:dLbl>
            <c:dLbl>
              <c:idx val="35"/>
              <c:tx>
                <c:strRef>
                  <c:f>Aerodynamics!$AL$43</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{6F999A80-603B-4352-9CD8-EA6A92CC554F}</c15:txfldGUID>
                      <c15:f>Aerodynamics!$AL$43</c15:f>
                      <c15:dlblFieldTableCache>
                        <c:ptCount val="1"/>
                      </c15:dlblFieldTableCache>
                    </c15:dlblFTEntry>
                  </c15:dlblFieldTable>
                  <c15:showDataLabelsRange val="0"/>
                </c:ext>
              </c:extLst>
            </c:dLbl>
            <c:dLbl>
              <c:idx val="36"/>
              <c:tx>
                <c:strRef>
                  <c:f>Aerodynamics!$AM$43</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{3F8EC11A-F23C-4378-A2BA-0A60F462C126}</c15:txfldGUID>
                      <c15:f>Aerodynamics!$AM$43</c15:f>
                      <c15:dlblFieldTableCache>
                        <c:ptCount val="1"/>
                      </c15:dlblFieldTableCache>
                    </c15:dlblFTEntry>
                  </c15:dlblFieldTable>
                  <c15:showDataLabelsRange val="0"/>
                </c:ext>
              </c:extLst>
            </c:dLbl>
            <c:dLbl>
              <c:idx val="37"/>
              <c:tx>
                <c:strRef>
                  <c:f>Aerodynamics!$AN$43</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{E8B9A333-E427-47C1-BA82-6166BA7DC0BC}</c15:txfldGUID>
                      <c15:f>Aerodynamics!$AN$43</c15:f>
                      <c15:dlblFieldTableCache>
                        <c:ptCount val="1"/>
                      </c15:dlblFieldTableCache>
                    </c15:dlblFTEntry>
                  </c15:dlblFieldTable>
                  <c15:showDataLabelsRange val="0"/>
                </c:ext>
              </c:extLst>
            </c:dLbl>
            <c:dLbl>
              <c:idx val="38"/>
              <c:tx>
                <c:strRef>
                  <c:f>Aerodynamics!$AO$43</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{012C4DA0-D26A-4118-A429-23FC482EA921}</c15:txfldGUID>
                      <c15:f>Aerodynamics!$AO$43</c15:f>
                      <c15:dlblFieldTableCache>
                        <c:ptCount val="1"/>
                      </c15:dlblFieldTableCache>
                    </c15:dlblFTEntry>
                  </c15:dlblFieldTable>
                  <c15:showDataLabelsRange val="0"/>
                </c:ext>
              </c:extLst>
            </c:dLbl>
            <c:dLbl>
              <c:idx val="39"/>
              <c:tx>
                <c:strRef>
                  <c:f>Aerodynamics!$AP$43</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{7D441935-DA96-4DF6-B7FD-1C719A715432}</c15:txfldGUID>
                      <c15:f>Aerodynamics!$AP$43</c15:f>
                      <c15:dlblFieldTableCache>
                        <c:ptCount val="1"/>
                      </c15:dlblFieldTableCache>
                    </c15:dlblFTEntry>
                  </c15:dlblFieldTable>
                  <c15:showDataLabelsRange val="0"/>
                </c:ext>
              </c:extLst>
            </c:dLbl>
            <c:dLbl>
              <c:idx val="40"/>
              <c:tx>
                <c:strRef>
                  <c:f>Aerodynamics!$AQ$43</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{F5F38430-49FF-42C5-A00D-F6190145793B}</c15:txfldGUID>
                      <c15:f>Aerodynamics!$AQ$43</c15:f>
                      <c15:dlblFieldTableCache>
                        <c:ptCount val="1"/>
                      </c15:dlblFieldTableCache>
                    </c15:dlblFTEntry>
                  </c15:dlblFieldTable>
                  <c15:showDataLabelsRange val="0"/>
                </c:ext>
              </c:extLst>
            </c:dLbl>
            <c:dLbl>
              <c:idx val="41"/>
              <c:tx>
                <c:strRef>
                  <c:f>Aerodynamics!$AR$43</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{B2BC1793-B90F-4E9A-89EC-F648F052FF47}</c15:txfldGUID>
                      <c15:f>Aerodynamics!$AR$43</c15:f>
                      <c15:dlblFieldTableCache>
                        <c:ptCount val="1"/>
                      </c15:dlblFieldTableCache>
                    </c15:dlblFTEntry>
                  </c15:dlblFieldTable>
                  <c15:showDataLabelsRange val="0"/>
                </c:ext>
              </c:extLst>
            </c:dLbl>
            <c:dLbl>
              <c:idx val="42"/>
              <c:tx>
                <c:strRef>
                  <c:f>Aerodynamics!$AS$43</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{2E404203-B7C0-4CE2-B6CF-AA736397DD62}</c15:txfldGUID>
                      <c15:f>Aerodynamics!$AS$43</c15:f>
                      <c15:dlblFieldTableCache>
                        <c:ptCount val="1"/>
                      </c15:dlblFieldTableCache>
                    </c15:dlblFTEntry>
                  </c15:dlblFieldTable>
                  <c15:showDataLabelsRange val="0"/>
                </c:ext>
              </c:extLst>
            </c:dLbl>
            <c:dLbl>
              <c:idx val="43"/>
              <c:tx>
                <c:strRef>
                  <c:f>Aerodynamics!$AT$43</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{CE4D45F8-B4F9-46D9-9B68-1C00897D0742}</c15:txfldGUID>
                      <c15:f>Aerodynamics!$AT$43</c15:f>
                      <c15:dlblFieldTableCache>
                        <c:ptCount val="1"/>
                      </c15:dlblFieldTableCache>
                    </c15:dlblFTEntry>
                  </c15:dlblFieldTable>
                  <c15:showDataLabelsRange val="0"/>
                </c:ext>
              </c:extLst>
            </c:dLbl>
            <c:dLbl>
              <c:idx val="44"/>
              <c:tx>
                <c:strRef>
                  <c:f>Aerodynamics!$AU$43</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{52EA0657-E538-435A-99F7-794D926B9682}</c15:txfldGUID>
                      <c15:f>Aerodynamics!$AU$43</c15:f>
                      <c15:dlblFieldTableCache>
                        <c:ptCount val="1"/>
                      </c15:dlblFieldTableCache>
                    </c15:dlblFTEntry>
                  </c15:dlblFieldTable>
                  <c15:showDataLabelsRange val="0"/>
                </c:ext>
              </c:extLst>
            </c:dLbl>
            <c:dLbl>
              <c:idx val="45"/>
              <c:tx>
                <c:strRef>
                  <c:f>Aerodynamics!$AV$43</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{10F22151-8F25-47FB-B2EA-7B4234DF21EA}</c15:txfldGUID>
                      <c15:f>Aerodynamics!$AV$43</c15:f>
                      <c15:dlblFieldTableCache>
                        <c:ptCount val="1"/>
                      </c15:dlblFieldTableCache>
                    </c15:dlblFTEntry>
                  </c15:dlblFieldTable>
                  <c15:showDataLabelsRange val="0"/>
                </c:ext>
              </c:extLst>
            </c:dLbl>
            <c:dLbl>
              <c:idx val="46"/>
              <c:tx>
                <c:strRef>
                  <c:f>Aerodynamics!$AW$43</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{E55A256D-B21F-4F31-92B3-1BF2B2ED779F}</c15:txfldGUID>
                      <c15:f>Aerodynamics!$AW$43</c15:f>
                      <c15:dlblFieldTableCache>
                        <c:ptCount val="1"/>
                      </c15:dlblFieldTableCache>
                    </c15:dlblFTEntry>
                  </c15:dlblFieldTable>
                  <c15:showDataLabelsRange val="0"/>
                </c:ext>
              </c:extLst>
            </c:dLbl>
            <c:dLbl>
              <c:idx val="47"/>
              <c:tx>
                <c:strRef>
                  <c:f>Aerodynamics!$AX$43</c:f>
                  <c:strCache>
                    <c:ptCount val="1"/>
                    <c:pt idx="0">
                      <c:v>Subsonic</c:v>
                    </c:pt>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{E5803AAD-C086-4DD8-9718-12D9B2F8CC84}</c15:txfldGUID>
                      <c15:f>Aerodynamics!$AX$43</c15:f>
                      <c15:dlblFieldTableCache>
                        <c:ptCount val="1"/>
                        <c:pt idx="0">
                          <c:v>Subsonic</c:v>
                        </c:pt>
                      </c15:dlblFieldTableCache>
                    </c15:dlblFTEntry>
                  </c15:dlblFieldTable>
                  <c15:showDataLabelsRange val="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Aerodynamics!$C$40:$CO$40</c:f>
              <c:numCache>
                <c:formatCode>General</c:formatCode>
                <c:ptCount val="91"/>
                <c:pt idx="0">
                  <c:v>0</c:v>
                </c:pt>
                <c:pt idx="1">
                  <c:v>1E-3</c:v>
                </c:pt>
                <c:pt idx="2">
                  <c:v>2E-3</c:v>
                </c:pt>
                <c:pt idx="3">
                  <c:v>3.0000000000000001E-3</c:v>
                </c:pt>
                <c:pt idx="4">
                  <c:v>4.0000000000000001E-3</c:v>
                </c:pt>
                <c:pt idx="5">
                  <c:v>5.0000000000000001E-3</c:v>
                </c:pt>
                <c:pt idx="6">
                  <c:v>6.0000000000000001E-3</c:v>
                </c:pt>
                <c:pt idx="7">
                  <c:v>7.0000000000000001E-3</c:v>
                </c:pt>
                <c:pt idx="8">
                  <c:v>8.0000000000000002E-3</c:v>
                </c:pt>
                <c:pt idx="9">
                  <c:v>9.0000000000000011E-3</c:v>
                </c:pt>
                <c:pt idx="10">
                  <c:v>1.0000000000000002E-2</c:v>
                </c:pt>
                <c:pt idx="11">
                  <c:v>1.1000000000000003E-2</c:v>
                </c:pt>
                <c:pt idx="12">
                  <c:v>1.2000000000000004E-2</c:v>
                </c:pt>
                <c:pt idx="13">
                  <c:v>1.3000000000000005E-2</c:v>
                </c:pt>
                <c:pt idx="14">
                  <c:v>1.4000000000000005E-2</c:v>
                </c:pt>
                <c:pt idx="15">
                  <c:v>1.5000000000000006E-2</c:v>
                </c:pt>
                <c:pt idx="16">
                  <c:v>1.6000000000000007E-2</c:v>
                </c:pt>
                <c:pt idx="17">
                  <c:v>1.7000000000000008E-2</c:v>
                </c:pt>
                <c:pt idx="18">
                  <c:v>1.8000000000000009E-2</c:v>
                </c:pt>
                <c:pt idx="19">
                  <c:v>1.900000000000001E-2</c:v>
                </c:pt>
                <c:pt idx="20">
                  <c:v>2.0000000000000011E-2</c:v>
                </c:pt>
                <c:pt idx="21">
                  <c:v>2.1000000000000012E-2</c:v>
                </c:pt>
                <c:pt idx="22">
                  <c:v>2.2000000000000013E-2</c:v>
                </c:pt>
                <c:pt idx="23">
                  <c:v>2.3000000000000013E-2</c:v>
                </c:pt>
                <c:pt idx="24">
                  <c:v>2.4000000000000014E-2</c:v>
                </c:pt>
                <c:pt idx="25">
                  <c:v>2.5000000000000015E-2</c:v>
                </c:pt>
                <c:pt idx="26">
                  <c:v>2.6000000000000016E-2</c:v>
                </c:pt>
                <c:pt idx="27">
                  <c:v>2.7000000000000017E-2</c:v>
                </c:pt>
                <c:pt idx="28">
                  <c:v>2.8000000000000018E-2</c:v>
                </c:pt>
                <c:pt idx="29">
                  <c:v>2.9000000000000019E-2</c:v>
                </c:pt>
                <c:pt idx="30">
                  <c:v>3.000000000000002E-2</c:v>
                </c:pt>
                <c:pt idx="31">
                  <c:v>3.1000000000000021E-2</c:v>
                </c:pt>
                <c:pt idx="32">
                  <c:v>3.2000000000000021E-2</c:v>
                </c:pt>
                <c:pt idx="33">
                  <c:v>3.3000000000000022E-2</c:v>
                </c:pt>
                <c:pt idx="34">
                  <c:v>3.4000000000000023E-2</c:v>
                </c:pt>
                <c:pt idx="35">
                  <c:v>3.5000000000000024E-2</c:v>
                </c:pt>
                <c:pt idx="36">
                  <c:v>3.6000000000000025E-2</c:v>
                </c:pt>
                <c:pt idx="37">
                  <c:v>3.7000000000000026E-2</c:v>
                </c:pt>
                <c:pt idx="38">
                  <c:v>3.8000000000000027E-2</c:v>
                </c:pt>
                <c:pt idx="39">
                  <c:v>3.9000000000000028E-2</c:v>
                </c:pt>
                <c:pt idx="40">
                  <c:v>4.0000000000000029E-2</c:v>
                </c:pt>
                <c:pt idx="41">
                  <c:v>4.1000000000000029E-2</c:v>
                </c:pt>
                <c:pt idx="42">
                  <c:v>4.200000000000003E-2</c:v>
                </c:pt>
                <c:pt idx="43">
                  <c:v>4.3000000000000031E-2</c:v>
                </c:pt>
                <c:pt idx="44">
                  <c:v>4.4000000000000032E-2</c:v>
                </c:pt>
                <c:pt idx="45">
                  <c:v>4.5000000000000033E-2</c:v>
                </c:pt>
                <c:pt idx="46">
                  <c:v>4.6000000000000034E-2</c:v>
                </c:pt>
                <c:pt idx="47">
                  <c:v>4.7000000000000035E-2</c:v>
                </c:pt>
                <c:pt idx="48">
                  <c:v>4.8000000000000036E-2</c:v>
                </c:pt>
                <c:pt idx="49">
                  <c:v>4.9000000000000037E-2</c:v>
                </c:pt>
                <c:pt idx="50">
                  <c:v>5.0000000000000037E-2</c:v>
                </c:pt>
                <c:pt idx="51">
                  <c:v>5.1000000000000038E-2</c:v>
                </c:pt>
                <c:pt idx="52">
                  <c:v>5.2000000000000039E-2</c:v>
                </c:pt>
                <c:pt idx="53">
                  <c:v>5.300000000000004E-2</c:v>
                </c:pt>
                <c:pt idx="54">
                  <c:v>5.4000000000000041E-2</c:v>
                </c:pt>
                <c:pt idx="55">
                  <c:v>5.5000000000000042E-2</c:v>
                </c:pt>
                <c:pt idx="56">
                  <c:v>5.6000000000000043E-2</c:v>
                </c:pt>
                <c:pt idx="57">
                  <c:v>5.7000000000000044E-2</c:v>
                </c:pt>
                <c:pt idx="58">
                  <c:v>5.8000000000000045E-2</c:v>
                </c:pt>
                <c:pt idx="59">
                  <c:v>5.9000000000000045E-2</c:v>
                </c:pt>
                <c:pt idx="60">
                  <c:v>6.0000000000000046E-2</c:v>
                </c:pt>
                <c:pt idx="61">
                  <c:v>6.1000000000000047E-2</c:v>
                </c:pt>
                <c:pt idx="62">
                  <c:v>6.2000000000000048E-2</c:v>
                </c:pt>
                <c:pt idx="63">
                  <c:v>6.3000000000000042E-2</c:v>
                </c:pt>
                <c:pt idx="64">
                  <c:v>6.4000000000000043E-2</c:v>
                </c:pt>
                <c:pt idx="65">
                  <c:v>6.5000000000000044E-2</c:v>
                </c:pt>
                <c:pt idx="66">
                  <c:v>6.6000000000000045E-2</c:v>
                </c:pt>
                <c:pt idx="67">
                  <c:v>6.7000000000000046E-2</c:v>
                </c:pt>
                <c:pt idx="68">
                  <c:v>6.8000000000000047E-2</c:v>
                </c:pt>
                <c:pt idx="69">
                  <c:v>6.9000000000000047E-2</c:v>
                </c:pt>
                <c:pt idx="70">
                  <c:v>7.0000000000000048E-2</c:v>
                </c:pt>
                <c:pt idx="71">
                  <c:v>7.1000000000000049E-2</c:v>
                </c:pt>
                <c:pt idx="72">
                  <c:v>7.200000000000005E-2</c:v>
                </c:pt>
                <c:pt idx="73">
                  <c:v>7.3000000000000051E-2</c:v>
                </c:pt>
                <c:pt idx="74">
                  <c:v>7.4000000000000052E-2</c:v>
                </c:pt>
                <c:pt idx="75">
                  <c:v>7.5000000000000053E-2</c:v>
                </c:pt>
                <c:pt idx="76">
                  <c:v>7.6000000000000054E-2</c:v>
                </c:pt>
                <c:pt idx="77">
                  <c:v>7.7000000000000055E-2</c:v>
                </c:pt>
                <c:pt idx="78">
                  <c:v>7.8000000000000055E-2</c:v>
                </c:pt>
                <c:pt idx="79">
                  <c:v>7.9000000000000056E-2</c:v>
                </c:pt>
                <c:pt idx="80">
                  <c:v>8.0000000000000057E-2</c:v>
                </c:pt>
                <c:pt idx="81">
                  <c:v>8.1000000000000058E-2</c:v>
                </c:pt>
                <c:pt idx="82">
                  <c:v>8.2000000000000059E-2</c:v>
                </c:pt>
                <c:pt idx="83">
                  <c:v>8.300000000000006E-2</c:v>
                </c:pt>
                <c:pt idx="84">
                  <c:v>8.4000000000000061E-2</c:v>
                </c:pt>
                <c:pt idx="85">
                  <c:v>8.5000000000000062E-2</c:v>
                </c:pt>
                <c:pt idx="86">
                  <c:v>8.6000000000000063E-2</c:v>
                </c:pt>
                <c:pt idx="87">
                  <c:v>8.7000000000000063E-2</c:v>
                </c:pt>
                <c:pt idx="88">
                  <c:v>8.8000000000000064E-2</c:v>
                </c:pt>
                <c:pt idx="89">
                  <c:v>8.9000000000000065E-2</c:v>
                </c:pt>
                <c:pt idx="90">
                  <c:v>9.0000000000000066E-2</c:v>
                </c:pt>
              </c:numCache>
            </c:numRef>
          </c:xVal>
          <c:yVal>
            <c:numRef>
              <c:f>Aerodynamics!$C$41:$CO$41</c:f>
              <c:numCache>
                <c:formatCode>General</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7.9719051281392603E-2</c:v>
                </c:pt>
                <c:pt idx="17">
                  <c:v>0.16266935827063436</c:v>
                </c:pt>
                <c:pt idx="18">
                  <c:v>0.21579507200850229</c:v>
                </c:pt>
                <c:pt idx="19">
                  <c:v>0.25821252116450394</c:v>
                </c:pt>
                <c:pt idx="20">
                  <c:v>0.29458428177535895</c:v>
                </c:pt>
                <c:pt idx="21">
                  <c:v>0.32693438493385607</c:v>
                </c:pt>
                <c:pt idx="22">
                  <c:v>0.3563597691028737</c:v>
                </c:pt>
                <c:pt idx="23">
                  <c:v>0.38353419406622424</c:v>
                </c:pt>
                <c:pt idx="24">
                  <c:v>0.40890667761850358</c:v>
                </c:pt>
                <c:pt idx="25">
                  <c:v>0.43279425132963301</c:v>
                </c:pt>
                <c:pt idx="26">
                  <c:v>0.45543062805102624</c:v>
                </c:pt>
                <c:pt idx="27">
                  <c:v>0.47699397265576315</c:v>
                </c:pt>
                <c:pt idx="28">
                  <c:v>0.49762379659025713</c:v>
                </c:pt>
                <c:pt idx="29">
                  <c:v>0.51743176933377055</c:v>
                </c:pt>
                <c:pt idx="30">
                  <c:v>0.53650892713807752</c:v>
                </c:pt>
                <c:pt idx="31">
                  <c:v>0.55493064601067554</c:v>
                </c:pt>
                <c:pt idx="32">
                  <c:v>0.57276017220543574</c:v>
                </c:pt>
                <c:pt idx="33">
                  <c:v>0.59005119087056768</c:v>
                </c:pt>
                <c:pt idx="34">
                  <c:v>0.60684973496801475</c:v>
                </c:pt>
                <c:pt idx="35">
                  <c:v>0.62319563045140525</c:v>
                </c:pt>
                <c:pt idx="36">
                  <c:v>0.63912360838628013</c:v>
                </c:pt>
                <c:pt idx="37">
                  <c:v>0.65466417328251125</c:v>
                </c:pt>
                <c:pt idx="38">
                  <c:v>0.66984428993807843</c:v>
                </c:pt>
                <c:pt idx="39">
                  <c:v>0.68468793310940079</c:v>
                </c:pt>
                <c:pt idx="40">
                  <c:v>0.6992165320761502</c:v>
                </c:pt>
                <c:pt idx="41">
                  <c:v>0.71344933366818175</c:v>
                </c:pt>
                <c:pt idx="42">
                  <c:v>0.72740370132035159</c:v>
                </c:pt>
                <c:pt idx="43">
                  <c:v>0.74109536341655924</c:v>
                </c:pt>
                <c:pt idx="44">
                  <c:v>0.75453862105295622</c:v>
                </c:pt>
                <c:pt idx="45">
                  <c:v>0.76774652304225477</c:v>
                </c:pt>
                <c:pt idx="46">
                  <c:v>0.78073101425935809</c:v>
                </c:pt>
                <c:pt idx="47">
                  <c:v>0.79350306212983246</c:v>
                </c:pt>
                <c:pt idx="48">
                  <c:v>0.80607276507297743</c:v>
                </c:pt>
                <c:pt idx="49">
                  <c:v>0.81844944594969959</c:v>
                </c:pt>
                <c:pt idx="50">
                  <c:v>0.83064173297417754</c:v>
                </c:pt>
                <c:pt idx="51">
                  <c:v>0.84265763008550487</c:v>
                </c:pt>
                <c:pt idx="52">
                  <c:v>0.85450457841037597</c:v>
                </c:pt>
                <c:pt idx="53">
                  <c:v>0.86618951015771883</c:v>
                </c:pt>
                <c:pt idx="54">
                  <c:v>0.877718896053995</c:v>
                </c:pt>
                <c:pt idx="55">
                  <c:v>0.88909878724088831</c:v>
                </c:pt>
                <c:pt idx="56">
                  <c:v>0.90033485240558864</c:v>
                </c:pt>
                <c:pt idx="57">
                  <c:v>0.91143241079038206</c:v>
                </c:pt>
                <c:pt idx="58">
                  <c:v>0.9223964616270719</c:v>
                </c:pt>
                <c:pt idx="59">
                  <c:v>0.93323171045840336</c:v>
                </c:pt>
                <c:pt idx="60">
                  <c:v>0.94394259273967074</c:v>
                </c:pt>
                <c:pt idx="61">
                  <c:v>0.95453329505631523</c:v>
                </c:pt>
                <c:pt idx="62">
                  <c:v>0.96500777424538975</c:v>
                </c:pt>
                <c:pt idx="63">
                  <c:v>0.97536977466856933</c:v>
                </c:pt>
                <c:pt idx="64">
                  <c:v>0.9856228438505219</c:v>
                </c:pt>
                <c:pt idx="65">
                  <c:v>0.99577034666782727</c:v>
                </c:pt>
                <c:pt idx="66">
                  <c:v>1.0058154782493356</c:v>
                </c:pt>
                <c:pt idx="67">
                  <c:v>1.0157612757281675</c:v>
                </c:pt>
                <c:pt idx="68">
                  <c:v>1.0256106289678795</c:v>
                </c:pt>
                <c:pt idx="69">
                  <c:v>1.0353662903701588</c:v>
                </c:pt>
                <c:pt idx="70">
                  <c:v>1.0450308838583855</c:v>
                </c:pt>
                <c:pt idx="71">
                  <c:v>1.0546069131201508</c:v>
                </c:pt>
                <c:pt idx="72">
                  <c:v>1.0640967691821022</c:v>
                </c:pt>
                <c:pt idx="73">
                  <c:v>1.0735027373820536</c:v>
                </c:pt>
                <c:pt idx="74">
                  <c:v>1.0828270037959606</c:v>
                </c:pt>
                <c:pt idx="75">
                  <c:v>1.0920716611709653</c:v>
                </c:pt>
                <c:pt idx="76">
                  <c:v>1.1012387144101348</c:v>
                </c:pt>
                <c:pt idx="77">
                  <c:v>1.1103300856496061</c:v>
                </c:pt>
                <c:pt idx="78">
                  <c:v>1.1193476189645628</c:v>
                </c:pt>
                <c:pt idx="79">
                  <c:v>1.128293084736679</c:v>
                </c:pt>
                <c:pt idx="80">
                  <c:v>1.1371681837123238</c:v>
                </c:pt>
                <c:pt idx="81">
                  <c:v>1.1459745507778785</c:v>
                </c:pt>
                <c:pt idx="82">
                  <c:v>1.1547137584758982</c:v>
                </c:pt>
                <c:pt idx="83">
                  <c:v>1.1633873202835372</c:v>
                </c:pt>
                <c:pt idx="84">
                  <c:v>1.1719966936725905</c:v>
                </c:pt>
                <c:pt idx="85">
                  <c:v>1.1805432829686757</c:v>
                </c:pt>
                <c:pt idx="86">
                  <c:v>1.1890284420254351</c:v>
                </c:pt>
                <c:pt idx="87">
                  <c:v>1.197453476728181</c:v>
                </c:pt>
                <c:pt idx="88">
                  <c:v>1.2058196473400917</c:v>
                </c:pt>
                <c:pt idx="89">
                  <c:v>1.2141281707028948</c:v>
                </c:pt>
                <c:pt idx="90">
                  <c:v>1.2223802223029185</c:v>
                </c:pt>
              </c:numCache>
            </c:numRef>
          </c:yVal>
          <c:smooth val="0"/>
        </c:ser>
        <c:ser>
          <c:idx val="1"/>
          <c:order val="1"/>
          <c:spPr>
            <a:ln w="12700">
              <a:solidFill>
                <a:srgbClr val="00FF00"/>
              </a:solidFill>
              <a:prstDash val="solid"/>
            </a:ln>
          </c:spPr>
          <c:marker>
            <c:symbol val="none"/>
          </c:marker>
          <c:dLbls>
            <c:dLbl>
              <c:idx val="0"/>
              <c:tx>
                <c:strRef>
                  <c:f>Notes!$C$60</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{C78A4EC1-1AF6-4789-99A4-F964384C095E}</c15:txfldGUID>
                      <c15:f>Notes!$C$60</c15:f>
                      <c15:dlblFieldTableCache>
                        <c:ptCount val="1"/>
                      </c15:dlblFieldTableCache>
                    </c15:dlblFTEntry>
                  </c15:dlblFieldTable>
                  <c15:showDataLabelsRange val="0"/>
                </c:ext>
              </c:extLst>
            </c:dLbl>
            <c:dLbl>
              <c:idx val="1"/>
              <c:tx>
                <c:strRef>
                  <c:f>Notes!$D$60</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{7A7C4999-429F-4A60-A981-3DD0772E7795}</c15:txfldGUID>
                      <c15:f>Notes!$D$60</c15:f>
                      <c15:dlblFieldTableCache>
                        <c:ptCount val="1"/>
                      </c15:dlblFieldTableCache>
                    </c15:dlblFTEntry>
                  </c15:dlblFieldTable>
                  <c15:showDataLabelsRange val="0"/>
                </c:ext>
              </c:extLst>
            </c:dLbl>
            <c:dLbl>
              <c:idx val="2"/>
              <c:tx>
                <c:strRef>
                  <c:f>Notes!$E$60</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{E90D4260-5733-4800-A6F6-AAE726285477}</c15:txfldGUID>
                      <c15:f>Notes!$E$60</c15:f>
                      <c15:dlblFieldTableCache>
                        <c:ptCount val="1"/>
                      </c15:dlblFieldTableCache>
                    </c15:dlblFTEntry>
                  </c15:dlblFieldTable>
                  <c15:showDataLabelsRange val="0"/>
                </c:ext>
              </c:extLst>
            </c:dLbl>
            <c:dLbl>
              <c:idx val="3"/>
              <c:tx>
                <c:strRef>
                  <c:f>Notes!$F$60</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{E563D9D1-2467-4D27-8A88-CFC748AE48A9}</c15:txfldGUID>
                      <c15:f>Notes!$F$60</c15:f>
                      <c15:dlblFieldTableCache>
                        <c:ptCount val="1"/>
                      </c15:dlblFieldTableCache>
                    </c15:dlblFTEntry>
                  </c15:dlblFieldTable>
                  <c15:showDataLabelsRange val="0"/>
                </c:ext>
              </c:extLst>
            </c:dLbl>
            <c:dLbl>
              <c:idx val="4"/>
              <c:tx>
                <c:strRef>
                  <c:f>Notes!$G$60</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{0416DD2D-A7A2-4F8E-8333-46AB063C0EDB}</c15:txfldGUID>
                      <c15:f>Notes!$G$60</c15:f>
                      <c15:dlblFieldTableCache>
                        <c:ptCount val="1"/>
                      </c15:dlblFieldTableCache>
                    </c15:dlblFTEntry>
                  </c15:dlblFieldTable>
                  <c15:showDataLabelsRange val="0"/>
                </c:ext>
              </c:extLst>
            </c:dLbl>
            <c:dLbl>
              <c:idx val="5"/>
              <c:tx>
                <c:strRef>
                  <c:f>Notes!$H$60</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{B3CD0163-D5DC-4F7A-B0CC-38654FD15ED5}</c15:txfldGUID>
                      <c15:f>Notes!$H$60</c15:f>
                      <c15:dlblFieldTableCache>
                        <c:ptCount val="1"/>
                      </c15:dlblFieldTableCache>
                    </c15:dlblFTEntry>
                  </c15:dlblFieldTable>
                  <c15:showDataLabelsRange val="0"/>
                </c:ext>
              </c:extLst>
            </c:dLbl>
            <c:dLbl>
              <c:idx val="6"/>
              <c:tx>
                <c:strRef>
                  <c:f>Notes!$I$60</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{0E2CF6E6-2B2F-45CD-A023-1B19CABDB3AB}</c15:txfldGUID>
                      <c15:f>Notes!$I$60</c15:f>
                      <c15:dlblFieldTableCache>
                        <c:ptCount val="1"/>
                      </c15:dlblFieldTableCache>
                    </c15:dlblFTEntry>
                  </c15:dlblFieldTable>
                  <c15:showDataLabelsRange val="0"/>
                </c:ext>
              </c:extLst>
            </c:dLbl>
            <c:dLbl>
              <c:idx val="7"/>
              <c:tx>
                <c:strRef>
                  <c:f>Notes!$J$60</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{5D3EDD29-D8FC-4C97-9BC8-210C2DF7A0C3}</c15:txfldGUID>
                      <c15:f>Notes!$J$60</c15:f>
                      <c15:dlblFieldTableCache>
                        <c:ptCount val="1"/>
                      </c15:dlblFieldTableCache>
                    </c15:dlblFTEntry>
                  </c15:dlblFieldTable>
                  <c15:showDataLabelsRange val="0"/>
                </c:ext>
              </c:extLst>
            </c:dLbl>
            <c:dLbl>
              <c:idx val="8"/>
              <c:tx>
                <c:strRef>
                  <c:f>Notes!$K$60</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{7233B1E1-9C31-472A-914B-ABE576C0901D}</c15:txfldGUID>
                      <c15:f>Notes!$K$60</c15:f>
                      <c15:dlblFieldTableCache>
                        <c:ptCount val="1"/>
                      </c15:dlblFieldTableCache>
                    </c15:dlblFTEntry>
                  </c15:dlblFieldTable>
                  <c15:showDataLabelsRange val="0"/>
                </c:ext>
              </c:extLst>
            </c:dLbl>
            <c:dLbl>
              <c:idx val="9"/>
              <c:tx>
                <c:strRef>
                  <c:f>Notes!$L$60</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{6C9160AC-632A-4C55-8886-07C709A1D5F7}</c15:txfldGUID>
                      <c15:f>Notes!$L$60</c15:f>
                      <c15:dlblFieldTableCache>
                        <c:ptCount val="1"/>
                      </c15:dlblFieldTableCache>
                    </c15:dlblFTEntry>
                  </c15:dlblFieldTable>
                  <c15:showDataLabelsRange val="0"/>
                </c:ext>
              </c:extLst>
            </c:dLbl>
            <c:dLbl>
              <c:idx val="10"/>
              <c:tx>
                <c:strRef>
                  <c:f>Notes!$M$60</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{B0A50F4D-D3CE-4EC8-BB1E-840102C001B9}</c15:txfldGUID>
                      <c15:f>Notes!$M$60</c15:f>
                      <c15:dlblFieldTableCache>
                        <c:ptCount val="1"/>
                      </c15:dlblFieldTableCache>
                    </c15:dlblFTEntry>
                  </c15:dlblFieldTable>
                  <c15:showDataLabelsRange val="0"/>
                </c:ext>
              </c:extLst>
            </c:dLbl>
            <c:dLbl>
              <c:idx val="11"/>
              <c:tx>
                <c:strRef>
                  <c:f>Notes!$N$60</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{3A4FD11D-29BA-4BA9-81BC-9E20E8223E12}</c15:txfldGUID>
                      <c15:f>Notes!$N$60</c15:f>
                      <c15:dlblFieldTableCache>
                        <c:ptCount val="1"/>
                      </c15:dlblFieldTableCache>
                    </c15:dlblFTEntry>
                  </c15:dlblFieldTable>
                  <c15:showDataLabelsRange val="0"/>
                </c:ext>
              </c:extLst>
            </c:dLbl>
            <c:dLbl>
              <c:idx val="12"/>
              <c:tx>
                <c:strRef>
                  <c:f>Notes!$O$60</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{AF508A78-27E1-4236-9632-76444788A167}</c15:txfldGUID>
                      <c15:f>Notes!$O$60</c15:f>
                      <c15:dlblFieldTableCache>
                        <c:ptCount val="1"/>
                      </c15:dlblFieldTableCache>
                    </c15:dlblFTEntry>
                  </c15:dlblFieldTable>
                  <c15:showDataLabelsRange val="0"/>
                </c:ext>
              </c:extLst>
            </c:dLbl>
            <c:dLbl>
              <c:idx val="13"/>
              <c:tx>
                <c:strRef>
                  <c:f>Notes!$P$60</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{96A32DC2-5E85-43EA-9AA3-9B04D85CB386}</c15:txfldGUID>
                      <c15:f>Notes!$P$60</c15:f>
                      <c15:dlblFieldTableCache>
                        <c:ptCount val="1"/>
                      </c15:dlblFieldTableCache>
                    </c15:dlblFTEntry>
                  </c15:dlblFieldTable>
                  <c15:showDataLabelsRange val="0"/>
                </c:ext>
              </c:extLst>
            </c:dLbl>
            <c:dLbl>
              <c:idx val="14"/>
              <c:tx>
                <c:strRef>
                  <c:f>Notes!$Q$60</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{5E0190CC-43EF-489C-9619-15F766D707B3}</c15:txfldGUID>
                      <c15:f>Notes!$Q$60</c15:f>
                      <c15:dlblFieldTableCache>
                        <c:ptCount val="1"/>
                      </c15:dlblFieldTableCache>
                    </c15:dlblFTEntry>
                  </c15:dlblFieldTable>
                  <c15:showDataLabelsRange val="0"/>
                </c:ext>
              </c:extLst>
            </c:dLbl>
            <c:dLbl>
              <c:idx val="15"/>
              <c:tx>
                <c:strRef>
                  <c:f>Notes!$R$60</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{5A35A59C-948E-4491-984D-38E1F27BED86}</c15:txfldGUID>
                      <c15:f>Notes!$R$60</c15:f>
                      <c15:dlblFieldTableCache>
                        <c:ptCount val="1"/>
                      </c15:dlblFieldTableCache>
                    </c15:dlblFTEntry>
                  </c15:dlblFieldTable>
                  <c15:showDataLabelsRange val="0"/>
                </c:ext>
              </c:extLst>
            </c:dLbl>
            <c:dLbl>
              <c:idx val="16"/>
              <c:tx>
                <c:strRef>
                  <c:f>Notes!$S$60</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{C8027764-ABE7-4985-A039-44EA58A80FAF}</c15:txfldGUID>
                      <c15:f>Notes!$S$60</c15:f>
                      <c15:dlblFieldTableCache>
                        <c:ptCount val="1"/>
                      </c15:dlblFieldTableCache>
                    </c15:dlblFTEntry>
                  </c15:dlblFieldTable>
                  <c15:showDataLabelsRange val="0"/>
                </c:ext>
              </c:extLst>
            </c:dLbl>
            <c:dLbl>
              <c:idx val="17"/>
              <c:tx>
                <c:strRef>
                  <c:f>Notes!$T$60</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{D080EB8D-0344-4A24-8EAE-A0F52FB1784E}</c15:txfldGUID>
                      <c15:f>Notes!$T$60</c15:f>
                      <c15:dlblFieldTableCache>
                        <c:ptCount val="1"/>
                      </c15:dlblFieldTableCache>
                    </c15:dlblFTEntry>
                  </c15:dlblFieldTable>
                  <c15:showDataLabelsRange val="0"/>
                </c:ext>
              </c:extLst>
            </c:dLbl>
            <c:dLbl>
              <c:idx val="18"/>
              <c:tx>
                <c:strRef>
                  <c:f>Notes!$U$60</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{0CDBEA65-B654-441C-B1FB-680F9B2CADF6}</c15:txfldGUID>
                      <c15:f>Notes!$U$60</c15:f>
                      <c15:dlblFieldTableCache>
                        <c:ptCount val="1"/>
                      </c15:dlblFieldTableCache>
                    </c15:dlblFTEntry>
                  </c15:dlblFieldTable>
                  <c15:showDataLabelsRange val="0"/>
                </c:ext>
              </c:extLst>
            </c:dLbl>
            <c:dLbl>
              <c:idx val="19"/>
              <c:tx>
                <c:strRef>
                  <c:f>Notes!$V$60</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{AA284712-BCAE-4DE7-AB09-5DAFC2A368D3}</c15:txfldGUID>
                      <c15:f>Notes!$V$60</c15:f>
                      <c15:dlblFieldTableCache>
                        <c:ptCount val="1"/>
                      </c15:dlblFieldTableCache>
                    </c15:dlblFTEntry>
                  </c15:dlblFieldTable>
                  <c15:showDataLabelsRange val="0"/>
                </c:ext>
              </c:extLst>
            </c:dLbl>
            <c:dLbl>
              <c:idx val="20"/>
              <c:tx>
                <c:strRef>
                  <c:f>Notes!$W$60</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{48765FE5-F58B-4BB2-BA06-387EFC417653}</c15:txfldGUID>
                      <c15:f>Notes!$W$60</c15:f>
                      <c15:dlblFieldTableCache>
                        <c:ptCount val="1"/>
                      </c15:dlblFieldTableCache>
                    </c15:dlblFTEntry>
                  </c15:dlblFieldTable>
                  <c15:showDataLabelsRange val="0"/>
                </c:ext>
              </c:extLst>
            </c:dLbl>
            <c:dLbl>
              <c:idx val="21"/>
              <c:tx>
                <c:strRef>
                  <c:f>Notes!$X$60</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{10316777-86C6-4601-9800-97AF7516FCA3}</c15:txfldGUID>
                      <c15:f>Notes!$X$60</c15:f>
                      <c15:dlblFieldTableCache>
                        <c:ptCount val="1"/>
                      </c15:dlblFieldTableCache>
                    </c15:dlblFTEntry>
                  </c15:dlblFieldTable>
                  <c15:showDataLabelsRange val="0"/>
                </c:ext>
              </c:extLst>
            </c:dLbl>
            <c:dLbl>
              <c:idx val="22"/>
              <c:tx>
                <c:strRef>
                  <c:f>Notes!$Y$60</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{9B7A9E91-1DAC-40D7-BF77-2846D66FF467}</c15:txfldGUID>
                      <c15:f>Notes!$Y$60</c15:f>
                      <c15:dlblFieldTableCache>
                        <c:ptCount val="1"/>
                      </c15:dlblFieldTableCache>
                    </c15:dlblFTEntry>
                  </c15:dlblFieldTable>
                  <c15:showDataLabelsRange val="0"/>
                </c:ext>
              </c:extLst>
            </c:dLbl>
            <c:dLbl>
              <c:idx val="23"/>
              <c:tx>
                <c:strRef>
                  <c:f>Notes!$Z$60</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{D7A3ED5C-B602-4852-B035-198E275558D3}</c15:txfldGUID>
                      <c15:f>Notes!$Z$60</c15:f>
                      <c15:dlblFieldTableCache>
                        <c:ptCount val="1"/>
                      </c15:dlblFieldTableCache>
                    </c15:dlblFTEntry>
                  </c15:dlblFieldTable>
                  <c15:showDataLabelsRange val="0"/>
                </c:ext>
              </c:extLst>
            </c:dLbl>
            <c:dLbl>
              <c:idx val="24"/>
              <c:tx>
                <c:strRef>
                  <c:f>Notes!$AA$60</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{A6CA0FB4-FC0B-42CD-AEAD-6E02FFD55BB8}</c15:txfldGUID>
                      <c15:f>Notes!$AA$60</c15:f>
                      <c15:dlblFieldTableCache>
                        <c:ptCount val="1"/>
                      </c15:dlblFieldTableCache>
                    </c15:dlblFTEntry>
                  </c15:dlblFieldTable>
                  <c15:showDataLabelsRange val="0"/>
                </c:ext>
              </c:extLst>
            </c:dLbl>
            <c:dLbl>
              <c:idx val="25"/>
              <c:tx>
                <c:strRef>
                  <c:f>Notes!$AB$60</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{65B27A72-9118-46ED-8C9A-60E6B88C6577}</c15:txfldGUID>
                      <c15:f>Notes!$AB$60</c15:f>
                      <c15:dlblFieldTableCache>
                        <c:ptCount val="1"/>
                      </c15:dlblFieldTableCache>
                    </c15:dlblFTEntry>
                  </c15:dlblFieldTable>
                  <c15:showDataLabelsRange val="0"/>
                </c:ext>
              </c:extLst>
            </c:dLbl>
            <c:dLbl>
              <c:idx val="26"/>
              <c:tx>
                <c:strRef>
                  <c:f>Notes!$AC$60</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{460379E6-F565-4F61-93A3-5275E061A48E}</c15:txfldGUID>
                      <c15:f>Notes!$AC$60</c15:f>
                      <c15:dlblFieldTableCache>
                        <c:ptCount val="1"/>
                      </c15:dlblFieldTableCache>
                    </c15:dlblFTEntry>
                  </c15:dlblFieldTable>
                  <c15:showDataLabelsRange val="0"/>
                </c:ext>
              </c:extLst>
            </c:dLbl>
            <c:dLbl>
              <c:idx val="27"/>
              <c:tx>
                <c:strRef>
                  <c:f>Notes!$AD$60</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{44D3EA6E-98AA-4FCD-9E99-AC2ECEE2BE3D}</c15:txfldGUID>
                      <c15:f>Notes!$AD$60</c15:f>
                      <c15:dlblFieldTableCache>
                        <c:ptCount val="1"/>
                      </c15:dlblFieldTableCache>
                    </c15:dlblFTEntry>
                  </c15:dlblFieldTable>
                  <c15:showDataLabelsRange val="0"/>
                </c:ext>
              </c:extLst>
            </c:dLbl>
            <c:dLbl>
              <c:idx val="28"/>
              <c:tx>
                <c:strRef>
                  <c:f>Notes!$AE$60</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{E58F977E-8400-4384-BDE0-3582E44F4C32}</c15:txfldGUID>
                      <c15:f>Notes!$AE$60</c15:f>
                      <c15:dlblFieldTableCache>
                        <c:ptCount val="1"/>
                      </c15:dlblFieldTableCache>
                    </c15:dlblFTEntry>
                  </c15:dlblFieldTable>
                  <c15:showDataLabelsRange val="0"/>
                </c:ext>
              </c:extLst>
            </c:dLbl>
            <c:dLbl>
              <c:idx val="29"/>
              <c:tx>
                <c:strRef>
                  <c:f>Notes!$AF$60</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{00DB95E8-788F-464F-B1CE-C6A6A4CEF6F0}</c15:txfldGUID>
                      <c15:f>Notes!$AF$60</c15:f>
                      <c15:dlblFieldTableCache>
                        <c:ptCount val="1"/>
                      </c15:dlblFieldTableCache>
                    </c15:dlblFTEntry>
                  </c15:dlblFieldTable>
                  <c15:showDataLabelsRange val="0"/>
                </c:ext>
              </c:extLst>
            </c:dLbl>
            <c:dLbl>
              <c:idx val="30"/>
              <c:tx>
                <c:strRef>
                  <c:f>Notes!$AG$60</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{FB8F6516-FED2-48DA-9B6D-535F5F97F741}</c15:txfldGUID>
                      <c15:f>Notes!$AG$60</c15:f>
                      <c15:dlblFieldTableCache>
                        <c:ptCount val="1"/>
                      </c15:dlblFieldTableCache>
                    </c15:dlblFTEntry>
                  </c15:dlblFieldTable>
                  <c15:showDataLabelsRange val="0"/>
                </c:ext>
              </c:extLst>
            </c:dLbl>
            <c:dLbl>
              <c:idx val="31"/>
              <c:tx>
                <c:strRef>
                  <c:f>Notes!$AH$60</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{E88FF8EA-82BA-486E-871E-F98F55AC0DEC}</c15:txfldGUID>
                      <c15:f>Notes!$AH$60</c15:f>
                      <c15:dlblFieldTableCache>
                        <c:ptCount val="1"/>
                      </c15:dlblFieldTableCache>
                    </c15:dlblFTEntry>
                  </c15:dlblFieldTable>
                  <c15:showDataLabelsRange val="0"/>
                </c:ext>
              </c:extLst>
            </c:dLbl>
            <c:dLbl>
              <c:idx val="32"/>
              <c:tx>
                <c:strRef>
                  <c:f>Notes!$AI$60</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{544FA948-BF0B-429D-AC2F-5E5309F3B3AA}</c15:txfldGUID>
                      <c15:f>Notes!$AI$60</c15:f>
                      <c15:dlblFieldTableCache>
                        <c:ptCount val="1"/>
                      </c15:dlblFieldTableCache>
                    </c15:dlblFTEntry>
                  </c15:dlblFieldTable>
                  <c15:showDataLabelsRange val="0"/>
                </c:ext>
              </c:extLst>
            </c:dLbl>
            <c:dLbl>
              <c:idx val="33"/>
              <c:tx>
                <c:strRef>
                  <c:f>Notes!$AJ$60</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{581DEBB5-03C8-4964-8E0C-94330BF9485B}</c15:txfldGUID>
                      <c15:f>Notes!$AJ$60</c15:f>
                      <c15:dlblFieldTableCache>
                        <c:ptCount val="1"/>
                      </c15:dlblFieldTableCache>
                    </c15:dlblFTEntry>
                  </c15:dlblFieldTable>
                  <c15:showDataLabelsRange val="0"/>
                </c:ext>
              </c:extLst>
            </c:dLbl>
            <c:dLbl>
              <c:idx val="34"/>
              <c:tx>
                <c:strRef>
                  <c:f>Notes!$AK$60</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{08B033E5-6849-4B22-938C-4AAC5C9E7BFE}</c15:txfldGUID>
                      <c15:f>Notes!$AK$60</c15:f>
                      <c15:dlblFieldTableCache>
                        <c:ptCount val="1"/>
                      </c15:dlblFieldTableCache>
                    </c15:dlblFTEntry>
                  </c15:dlblFieldTable>
                  <c15:showDataLabelsRange val="0"/>
                </c:ext>
              </c:extLst>
            </c:dLbl>
            <c:dLbl>
              <c:idx val="35"/>
              <c:tx>
                <c:strRef>
                  <c:f>Notes!$AL$60</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{A19541BB-652B-4A3A-B11C-73EC8224C180}</c15:txfldGUID>
                      <c15:f>Notes!$AL$60</c15:f>
                      <c15:dlblFieldTableCache>
                        <c:ptCount val="1"/>
                      </c15:dlblFieldTableCache>
                    </c15:dlblFTEntry>
                  </c15:dlblFieldTable>
                  <c15:showDataLabelsRange val="0"/>
                </c:ext>
              </c:extLst>
            </c:dLbl>
            <c:dLbl>
              <c:idx val="36"/>
              <c:tx>
                <c:strRef>
                  <c:f>Notes!$AM$60</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{A2569457-5A43-4336-B5F0-1FCA45E5677A}</c15:txfldGUID>
                      <c15:f>Notes!$AM$60</c15:f>
                      <c15:dlblFieldTableCache>
                        <c:ptCount val="1"/>
                      </c15:dlblFieldTableCache>
                    </c15:dlblFTEntry>
                  </c15:dlblFieldTable>
                  <c15:showDataLabelsRange val="0"/>
                </c:ext>
              </c:extLst>
            </c:dLbl>
            <c:dLbl>
              <c:idx val="37"/>
              <c:tx>
                <c:strRef>
                  <c:f>Notes!$AN$60</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{76EEEBD2-576D-412D-89CC-7177DFE899F5}</c15:txfldGUID>
                      <c15:f>Notes!$AN$60</c15:f>
                      <c15:dlblFieldTableCache>
                        <c:ptCount val="1"/>
                      </c15:dlblFieldTableCache>
                    </c15:dlblFTEntry>
                  </c15:dlblFieldTable>
                  <c15:showDataLabelsRange val="0"/>
                </c:ext>
              </c:extLst>
            </c:dLbl>
            <c:dLbl>
              <c:idx val="38"/>
              <c:tx>
                <c:strRef>
                  <c:f>Notes!$AO$60</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{AA59E718-2CDA-4FA3-A0A3-A5EDBE79D8B8}</c15:txfldGUID>
                      <c15:f>Notes!$AO$60</c15:f>
                      <c15:dlblFieldTableCache>
                        <c:ptCount val="1"/>
                      </c15:dlblFieldTableCache>
                    </c15:dlblFTEntry>
                  </c15:dlblFieldTable>
                  <c15:showDataLabelsRange val="0"/>
                </c:ext>
              </c:extLst>
            </c:dLbl>
            <c:dLbl>
              <c:idx val="39"/>
              <c:tx>
                <c:strRef>
                  <c:f>Notes!$AP$60</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{05F9B005-DFCE-45A1-9BF7-6DCA79D1F79D}</c15:txfldGUID>
                      <c15:f>Notes!$AP$60</c15:f>
                      <c15:dlblFieldTableCache>
                        <c:ptCount val="1"/>
                      </c15:dlblFieldTableCache>
                    </c15:dlblFTEntry>
                  </c15:dlblFieldTable>
                  <c15:showDataLabelsRange val="0"/>
                </c:ext>
              </c:extLst>
            </c:dLbl>
            <c:dLbl>
              <c:idx val="40"/>
              <c:tx>
                <c:strRef>
                  <c:f>Notes!$AQ$60</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{0B9071BC-F691-4733-BBE1-A5314DB1D88B}</c15:txfldGUID>
                      <c15:f>Notes!$AQ$60</c15:f>
                      <c15:dlblFieldTableCache>
                        <c:ptCount val="1"/>
                      </c15:dlblFieldTableCache>
                    </c15:dlblFTEntry>
                  </c15:dlblFieldTable>
                  <c15:showDataLabelsRange val="0"/>
                </c:ext>
              </c:extLst>
            </c:dLbl>
            <c:dLbl>
              <c:idx val="41"/>
              <c:tx>
                <c:strRef>
                  <c:f>Notes!$AR$60</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{AE3F604A-3B75-45E3-B42C-FFDBEC16F752}</c15:txfldGUID>
                      <c15:f>Notes!$AR$60</c15:f>
                      <c15:dlblFieldTableCache>
                        <c:ptCount val="1"/>
                      </c15:dlblFieldTableCache>
                    </c15:dlblFTEntry>
                  </c15:dlblFieldTable>
                  <c15:showDataLabelsRange val="0"/>
                </c:ext>
              </c:extLst>
            </c:dLbl>
            <c:dLbl>
              <c:idx val="42"/>
              <c:tx>
                <c:strRef>
                  <c:f>Notes!$AS$60</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{4C0188D0-D3C1-4717-A152-D4667E9F6DE9}</c15:txfldGUID>
                      <c15:f>Notes!$AS$60</c15:f>
                      <c15:dlblFieldTableCache>
                        <c:ptCount val="1"/>
                      </c15:dlblFieldTableCache>
                    </c15:dlblFTEntry>
                  </c15:dlblFieldTable>
                  <c15:showDataLabelsRange val="0"/>
                </c:ext>
              </c:extLst>
            </c:dLbl>
            <c:dLbl>
              <c:idx val="43"/>
              <c:tx>
                <c:strRef>
                  <c:f>Notes!$AT$60</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{391ADA27-FCF8-4906-AA5C-8B59403E07FF}</c15:txfldGUID>
                      <c15:f>Notes!$AT$60</c15:f>
                      <c15:dlblFieldTableCache>
                        <c:ptCount val="1"/>
                      </c15:dlblFieldTableCache>
                    </c15:dlblFTEntry>
                  </c15:dlblFieldTable>
                  <c15:showDataLabelsRange val="0"/>
                </c:ext>
              </c:extLst>
            </c:dLbl>
            <c:dLbl>
              <c:idx val="44"/>
              <c:tx>
                <c:strRef>
                  <c:f>Notes!$AU$60</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{A0AC8BDD-7CD7-4E1A-A159-5BDABB62BB37}</c15:txfldGUID>
                      <c15:f>Notes!$AU$60</c15:f>
                      <c15:dlblFieldTableCache>
                        <c:ptCount val="1"/>
                      </c15:dlblFieldTableCache>
                    </c15:dlblFTEntry>
                  </c15:dlblFieldTable>
                  <c15:showDataLabelsRange val="0"/>
                </c:ext>
              </c:extLst>
            </c:dLbl>
            <c:dLbl>
              <c:idx val="45"/>
              <c:tx>
                <c:strRef>
                  <c:f>Notes!$AV$60</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{1C18C0E5-0E5B-4061-8C9E-135D296E865E}</c15:txfldGUID>
                      <c15:f>Notes!$AV$60</c15:f>
                      <c15:dlblFieldTableCache>
                        <c:ptCount val="1"/>
                      </c15:dlblFieldTableCache>
                    </c15:dlblFTEntry>
                  </c15:dlblFieldTable>
                  <c15:showDataLabelsRange val="0"/>
                </c:ext>
              </c:extLst>
            </c:dLbl>
            <c:dLbl>
              <c:idx val="46"/>
              <c:tx>
                <c:strRef>
                  <c:f>Notes!$AW$60</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{E9F28150-3B02-459D-B2BC-DD2D26751D1E}</c15:txfldGUID>
                      <c15:f>Notes!$AW$60</c15:f>
                      <c15:dlblFieldTableCache>
                        <c:ptCount val="1"/>
                      </c15:dlblFieldTableCache>
                    </c15:dlblFTEntry>
                  </c15:dlblFieldTable>
                  <c15:showDataLabelsRange val="0"/>
                </c:ext>
              </c:extLst>
            </c:dLbl>
            <c:dLbl>
              <c:idx val="47"/>
              <c:tx>
                <c:strRef>
                  <c:f>Notes!$AX$60</c:f>
                  <c:strCache>
                    <c:ptCount val="1"/>
                    <c:pt idx="0">
                      <c:v>Supersonic</c:v>
                    </c:pt>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{796D02A4-9CD1-4DEC-9489-BD7D12039F5C}</c15:txfldGUID>
                      <c15:f>Notes!$AX$60</c15:f>
                      <c15:dlblFieldTableCache>
                        <c:ptCount val="1"/>
                        <c:pt idx="0">
                          <c:v>Supersonic</c:v>
                        </c:pt>
                      </c15:dlblFieldTableCache>
                    </c15:dlblFTEntry>
                  </c15:dlblFieldTable>
                  <c15:showDataLabelsRange val="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Aerodynamics!$C$40:$CO$40</c:f>
              <c:numCache>
                <c:formatCode>General</c:formatCode>
                <c:ptCount val="91"/>
                <c:pt idx="0">
                  <c:v>0</c:v>
                </c:pt>
                <c:pt idx="1">
                  <c:v>1E-3</c:v>
                </c:pt>
                <c:pt idx="2">
                  <c:v>2E-3</c:v>
                </c:pt>
                <c:pt idx="3">
                  <c:v>3.0000000000000001E-3</c:v>
                </c:pt>
                <c:pt idx="4">
                  <c:v>4.0000000000000001E-3</c:v>
                </c:pt>
                <c:pt idx="5">
                  <c:v>5.0000000000000001E-3</c:v>
                </c:pt>
                <c:pt idx="6">
                  <c:v>6.0000000000000001E-3</c:v>
                </c:pt>
                <c:pt idx="7">
                  <c:v>7.0000000000000001E-3</c:v>
                </c:pt>
                <c:pt idx="8">
                  <c:v>8.0000000000000002E-3</c:v>
                </c:pt>
                <c:pt idx="9">
                  <c:v>9.0000000000000011E-3</c:v>
                </c:pt>
                <c:pt idx="10">
                  <c:v>1.0000000000000002E-2</c:v>
                </c:pt>
                <c:pt idx="11">
                  <c:v>1.1000000000000003E-2</c:v>
                </c:pt>
                <c:pt idx="12">
                  <c:v>1.2000000000000004E-2</c:v>
                </c:pt>
                <c:pt idx="13">
                  <c:v>1.3000000000000005E-2</c:v>
                </c:pt>
                <c:pt idx="14">
                  <c:v>1.4000000000000005E-2</c:v>
                </c:pt>
                <c:pt idx="15">
                  <c:v>1.5000000000000006E-2</c:v>
                </c:pt>
                <c:pt idx="16">
                  <c:v>1.6000000000000007E-2</c:v>
                </c:pt>
                <c:pt idx="17">
                  <c:v>1.7000000000000008E-2</c:v>
                </c:pt>
                <c:pt idx="18">
                  <c:v>1.8000000000000009E-2</c:v>
                </c:pt>
                <c:pt idx="19">
                  <c:v>1.900000000000001E-2</c:v>
                </c:pt>
                <c:pt idx="20">
                  <c:v>2.0000000000000011E-2</c:v>
                </c:pt>
                <c:pt idx="21">
                  <c:v>2.1000000000000012E-2</c:v>
                </c:pt>
                <c:pt idx="22">
                  <c:v>2.2000000000000013E-2</c:v>
                </c:pt>
                <c:pt idx="23">
                  <c:v>2.3000000000000013E-2</c:v>
                </c:pt>
                <c:pt idx="24">
                  <c:v>2.4000000000000014E-2</c:v>
                </c:pt>
                <c:pt idx="25">
                  <c:v>2.5000000000000015E-2</c:v>
                </c:pt>
                <c:pt idx="26">
                  <c:v>2.6000000000000016E-2</c:v>
                </c:pt>
                <c:pt idx="27">
                  <c:v>2.7000000000000017E-2</c:v>
                </c:pt>
                <c:pt idx="28">
                  <c:v>2.8000000000000018E-2</c:v>
                </c:pt>
                <c:pt idx="29">
                  <c:v>2.9000000000000019E-2</c:v>
                </c:pt>
                <c:pt idx="30">
                  <c:v>3.000000000000002E-2</c:v>
                </c:pt>
                <c:pt idx="31">
                  <c:v>3.1000000000000021E-2</c:v>
                </c:pt>
                <c:pt idx="32">
                  <c:v>3.2000000000000021E-2</c:v>
                </c:pt>
                <c:pt idx="33">
                  <c:v>3.3000000000000022E-2</c:v>
                </c:pt>
                <c:pt idx="34">
                  <c:v>3.4000000000000023E-2</c:v>
                </c:pt>
                <c:pt idx="35">
                  <c:v>3.5000000000000024E-2</c:v>
                </c:pt>
                <c:pt idx="36">
                  <c:v>3.6000000000000025E-2</c:v>
                </c:pt>
                <c:pt idx="37">
                  <c:v>3.7000000000000026E-2</c:v>
                </c:pt>
                <c:pt idx="38">
                  <c:v>3.8000000000000027E-2</c:v>
                </c:pt>
                <c:pt idx="39">
                  <c:v>3.9000000000000028E-2</c:v>
                </c:pt>
                <c:pt idx="40">
                  <c:v>4.0000000000000029E-2</c:v>
                </c:pt>
                <c:pt idx="41">
                  <c:v>4.1000000000000029E-2</c:v>
                </c:pt>
                <c:pt idx="42">
                  <c:v>4.200000000000003E-2</c:v>
                </c:pt>
                <c:pt idx="43">
                  <c:v>4.3000000000000031E-2</c:v>
                </c:pt>
                <c:pt idx="44">
                  <c:v>4.4000000000000032E-2</c:v>
                </c:pt>
                <c:pt idx="45">
                  <c:v>4.5000000000000033E-2</c:v>
                </c:pt>
                <c:pt idx="46">
                  <c:v>4.6000000000000034E-2</c:v>
                </c:pt>
                <c:pt idx="47">
                  <c:v>4.7000000000000035E-2</c:v>
                </c:pt>
                <c:pt idx="48">
                  <c:v>4.8000000000000036E-2</c:v>
                </c:pt>
                <c:pt idx="49">
                  <c:v>4.9000000000000037E-2</c:v>
                </c:pt>
                <c:pt idx="50">
                  <c:v>5.0000000000000037E-2</c:v>
                </c:pt>
                <c:pt idx="51">
                  <c:v>5.1000000000000038E-2</c:v>
                </c:pt>
                <c:pt idx="52">
                  <c:v>5.2000000000000039E-2</c:v>
                </c:pt>
                <c:pt idx="53">
                  <c:v>5.300000000000004E-2</c:v>
                </c:pt>
                <c:pt idx="54">
                  <c:v>5.4000000000000041E-2</c:v>
                </c:pt>
                <c:pt idx="55">
                  <c:v>5.5000000000000042E-2</c:v>
                </c:pt>
                <c:pt idx="56">
                  <c:v>5.6000000000000043E-2</c:v>
                </c:pt>
                <c:pt idx="57">
                  <c:v>5.7000000000000044E-2</c:v>
                </c:pt>
                <c:pt idx="58">
                  <c:v>5.8000000000000045E-2</c:v>
                </c:pt>
                <c:pt idx="59">
                  <c:v>5.9000000000000045E-2</c:v>
                </c:pt>
                <c:pt idx="60">
                  <c:v>6.0000000000000046E-2</c:v>
                </c:pt>
                <c:pt idx="61">
                  <c:v>6.1000000000000047E-2</c:v>
                </c:pt>
                <c:pt idx="62">
                  <c:v>6.2000000000000048E-2</c:v>
                </c:pt>
                <c:pt idx="63">
                  <c:v>6.3000000000000042E-2</c:v>
                </c:pt>
                <c:pt idx="64">
                  <c:v>6.4000000000000043E-2</c:v>
                </c:pt>
                <c:pt idx="65">
                  <c:v>6.5000000000000044E-2</c:v>
                </c:pt>
                <c:pt idx="66">
                  <c:v>6.6000000000000045E-2</c:v>
                </c:pt>
                <c:pt idx="67">
                  <c:v>6.7000000000000046E-2</c:v>
                </c:pt>
                <c:pt idx="68">
                  <c:v>6.8000000000000047E-2</c:v>
                </c:pt>
                <c:pt idx="69">
                  <c:v>6.9000000000000047E-2</c:v>
                </c:pt>
                <c:pt idx="70">
                  <c:v>7.0000000000000048E-2</c:v>
                </c:pt>
                <c:pt idx="71">
                  <c:v>7.1000000000000049E-2</c:v>
                </c:pt>
                <c:pt idx="72">
                  <c:v>7.200000000000005E-2</c:v>
                </c:pt>
                <c:pt idx="73">
                  <c:v>7.3000000000000051E-2</c:v>
                </c:pt>
                <c:pt idx="74">
                  <c:v>7.4000000000000052E-2</c:v>
                </c:pt>
                <c:pt idx="75">
                  <c:v>7.5000000000000053E-2</c:v>
                </c:pt>
                <c:pt idx="76">
                  <c:v>7.6000000000000054E-2</c:v>
                </c:pt>
                <c:pt idx="77">
                  <c:v>7.7000000000000055E-2</c:v>
                </c:pt>
                <c:pt idx="78">
                  <c:v>7.8000000000000055E-2</c:v>
                </c:pt>
                <c:pt idx="79">
                  <c:v>7.9000000000000056E-2</c:v>
                </c:pt>
                <c:pt idx="80">
                  <c:v>8.0000000000000057E-2</c:v>
                </c:pt>
                <c:pt idx="81">
                  <c:v>8.1000000000000058E-2</c:v>
                </c:pt>
                <c:pt idx="82">
                  <c:v>8.2000000000000059E-2</c:v>
                </c:pt>
                <c:pt idx="83">
                  <c:v>8.300000000000006E-2</c:v>
                </c:pt>
                <c:pt idx="84">
                  <c:v>8.4000000000000061E-2</c:v>
                </c:pt>
                <c:pt idx="85">
                  <c:v>8.5000000000000062E-2</c:v>
                </c:pt>
                <c:pt idx="86">
                  <c:v>8.6000000000000063E-2</c:v>
                </c:pt>
                <c:pt idx="87">
                  <c:v>8.7000000000000063E-2</c:v>
                </c:pt>
                <c:pt idx="88">
                  <c:v>8.8000000000000064E-2</c:v>
                </c:pt>
                <c:pt idx="89">
                  <c:v>8.9000000000000065E-2</c:v>
                </c:pt>
                <c:pt idx="90">
                  <c:v>9.0000000000000066E-2</c:v>
                </c:pt>
              </c:numCache>
            </c:numRef>
          </c:xVal>
          <c:yVal>
            <c:numRef>
              <c:f>Aerodynamics!$C$42:$CO$42</c:f>
              <c:numCache>
                <c:formatCode>General</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4.3015947132529745E-9</c:v>
                </c:pt>
                <c:pt idx="41">
                  <c:v>2.581988897471648E-2</c:v>
                </c:pt>
                <c:pt idx="42">
                  <c:v>3.6514837167011344E-2</c:v>
                </c:pt>
                <c:pt idx="43">
                  <c:v>4.4721359549996023E-2</c:v>
                </c:pt>
                <c:pt idx="44">
                  <c:v>5.1639777949432426E-2</c:v>
                </c:pt>
                <c:pt idx="45">
                  <c:v>5.7735026918962762E-2</c:v>
                </c:pt>
                <c:pt idx="46">
                  <c:v>6.3245553203367763E-2</c:v>
                </c:pt>
                <c:pt idx="47">
                  <c:v>6.8313005106397484E-2</c:v>
                </c:pt>
                <c:pt idx="48">
                  <c:v>7.3029674334022313E-2</c:v>
                </c:pt>
                <c:pt idx="49">
                  <c:v>7.745966692414849E-2</c:v>
                </c:pt>
                <c:pt idx="50">
                  <c:v>8.1649658092772748E-2</c:v>
                </c:pt>
                <c:pt idx="51">
                  <c:v>8.5634883857767671E-2</c:v>
                </c:pt>
                <c:pt idx="52">
                  <c:v>8.9442719099991741E-2</c:v>
                </c:pt>
                <c:pt idx="53">
                  <c:v>9.3094933625126414E-2</c:v>
                </c:pt>
                <c:pt idx="54">
                  <c:v>9.6609178307929727E-2</c:v>
                </c:pt>
                <c:pt idx="55">
                  <c:v>0.10000000000000014</c:v>
                </c:pt>
                <c:pt idx="56">
                  <c:v>0.10327955589886459</c:v>
                </c:pt>
                <c:pt idx="57">
                  <c:v>0.10645812948447554</c:v>
                </c:pt>
                <c:pt idx="58">
                  <c:v>0.10954451150103336</c:v>
                </c:pt>
                <c:pt idx="59">
                  <c:v>0.11254628677422768</c:v>
                </c:pt>
                <c:pt idx="60">
                  <c:v>0.11547005383792529</c:v>
                </c:pt>
                <c:pt idx="61">
                  <c:v>0.11832159566199245</c:v>
                </c:pt>
                <c:pt idx="62">
                  <c:v>0.12110601416389979</c:v>
                </c:pt>
                <c:pt idx="63">
                  <c:v>0.12382783747337818</c:v>
                </c:pt>
                <c:pt idx="64">
                  <c:v>0.12649110640673528</c:v>
                </c:pt>
                <c:pt idx="65">
                  <c:v>0.12909944487358066</c:v>
                </c:pt>
                <c:pt idx="66">
                  <c:v>0.13165611772087676</c:v>
                </c:pt>
                <c:pt idx="67">
                  <c:v>0.1341640786499875</c:v>
                </c:pt>
                <c:pt idx="68">
                  <c:v>0.13662601021279475</c:v>
                </c:pt>
                <c:pt idx="69">
                  <c:v>0.13904435743076152</c:v>
                </c:pt>
                <c:pt idx="70">
                  <c:v>0.14142135623730961</c:v>
                </c:pt>
                <c:pt idx="71">
                  <c:v>0.14375905768565228</c:v>
                </c:pt>
                <c:pt idx="72">
                  <c:v>0.1460593486680444</c:v>
                </c:pt>
                <c:pt idx="73">
                  <c:v>0.14832396974191336</c:v>
                </c:pt>
                <c:pt idx="74">
                  <c:v>0.15055453054181631</c:v>
                </c:pt>
                <c:pt idx="75">
                  <c:v>0.15275252316519478</c:v>
                </c:pt>
                <c:pt idx="76">
                  <c:v>0.15491933384829679</c:v>
                </c:pt>
                <c:pt idx="77">
                  <c:v>0.15705625319186339</c:v>
                </c:pt>
                <c:pt idx="78">
                  <c:v>0.15916448515084441</c:v>
                </c:pt>
                <c:pt idx="79">
                  <c:v>0.16124515496597111</c:v>
                </c:pt>
                <c:pt idx="80">
                  <c:v>0.16329931618554533</c:v>
                </c:pt>
                <c:pt idx="81">
                  <c:v>0.16532795690183005</c:v>
                </c:pt>
                <c:pt idx="82">
                  <c:v>0.16733200530681522</c:v>
                </c:pt>
                <c:pt idx="83">
                  <c:v>0.16931233465600404</c:v>
                </c:pt>
                <c:pt idx="84">
                  <c:v>0.17126976771553518</c:v>
                </c:pt>
                <c:pt idx="85">
                  <c:v>0.17320508075688784</c:v>
                </c:pt>
                <c:pt idx="86">
                  <c:v>0.17511900715418274</c:v>
                </c:pt>
                <c:pt idx="87">
                  <c:v>0.17701224063135682</c:v>
                </c:pt>
                <c:pt idx="88">
                  <c:v>0.17888543819998329</c:v>
                </c:pt>
                <c:pt idx="89">
                  <c:v>0.18073922282301291</c:v>
                </c:pt>
                <c:pt idx="90">
                  <c:v>0.1825741858350555</c:v>
                </c:pt>
              </c:numCache>
            </c:numRef>
          </c:yVal>
          <c:smooth val="0"/>
        </c:ser>
        <c:dLbls>
          <c:showLegendKey val="0"/>
          <c:showVal val="0"/>
          <c:showCatName val="0"/>
          <c:showSerName val="0"/>
          <c:showPercent val="0"/>
          <c:showBubbleSize val="0"/>
        </c:dLbls>
        <c:axId val="350375000"/>
        <c:axId val="350375392"/>
      </c:scatterChart>
      <c:valAx>
        <c:axId val="350375000"/>
        <c:scaling>
          <c:orientation val="minMax"/>
        </c:scaling>
        <c:delete val="0"/>
        <c:axPos val="b"/>
        <c:majorGridlines>
          <c:spPr>
            <a:ln w="3175">
              <a:solidFill>
                <a:srgbClr val="000000"/>
              </a:solidFill>
              <a:prstDash val="solid"/>
            </a:ln>
          </c:spPr>
        </c:majorGridlines>
        <c:title>
          <c:tx>
            <c:rich>
              <a:bodyPr/>
              <a:lstStyle/>
              <a:p>
                <a:pPr>
                  <a:defRPr sz="1000" b="0" i="0" u="none" strike="noStrike" baseline="0">
                    <a:solidFill>
                      <a:srgbClr val="000000"/>
                    </a:solidFill>
                    <a:latin typeface="Arial"/>
                    <a:ea typeface="Arial"/>
                    <a:cs typeface="Arial"/>
                  </a:defRPr>
                </a:pPr>
                <a:r>
                  <a:rPr lang="en-US"/>
                  <a:t>DRAG COEFFICIENT</a:t>
                </a:r>
              </a:p>
            </c:rich>
          </c:tx>
          <c:layout>
            <c:manualLayout>
              <c:xMode val="edge"/>
              <c:yMode val="edge"/>
              <c:x val="0.45061043285238622"/>
              <c:y val="0.94453507340946163"/>
            </c:manualLayout>
          </c:layout>
          <c:overlay val="0"/>
          <c:spPr>
            <a:noFill/>
            <a:ln w="25400">
              <a:noFill/>
            </a:ln>
          </c:spPr>
        </c:title>
        <c:numFmt formatCode="General" sourceLinked="1"/>
        <c:majorTickMark val="in"/>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50375392"/>
        <c:crosses val="autoZero"/>
        <c:crossBetween val="midCat"/>
      </c:valAx>
      <c:valAx>
        <c:axId val="350375392"/>
        <c:scaling>
          <c:orientation val="minMax"/>
        </c:scaling>
        <c:delete val="0"/>
        <c:axPos val="l"/>
        <c:majorGridlines>
          <c:spPr>
            <a:ln w="3175">
              <a:solidFill>
                <a:srgbClr val="000000"/>
              </a:solidFill>
              <a:prstDash val="solid"/>
            </a:ln>
          </c:spPr>
        </c:majorGridlines>
        <c:title>
          <c:tx>
            <c:rich>
              <a:bodyPr/>
              <a:lstStyle/>
              <a:p>
                <a:pPr>
                  <a:defRPr sz="1000" b="0" i="0" u="none" strike="noStrike" baseline="0">
                    <a:solidFill>
                      <a:srgbClr val="000000"/>
                    </a:solidFill>
                    <a:latin typeface="Arial"/>
                    <a:ea typeface="Arial"/>
                    <a:cs typeface="Arial"/>
                  </a:defRPr>
                </a:pPr>
                <a:r>
                  <a:rPr lang="en-US"/>
                  <a:t>LIFT COEFFICIENT</a:t>
                </a:r>
              </a:p>
            </c:rich>
          </c:tx>
          <c:layout>
            <c:manualLayout>
              <c:xMode val="edge"/>
              <c:yMode val="edge"/>
              <c:x val="1.2208657047724751E-2"/>
              <c:y val="0.4078303425774878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50375000"/>
        <c:crosses val="autoZero"/>
        <c:crossBetween val="midCat"/>
      </c:valAx>
      <c:spPr>
        <a:solidFill>
          <a:schemeClr val="bg1"/>
        </a:solidFill>
        <a:ln w="12700">
          <a:solidFill>
            <a:srgbClr val="80808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n-US"/>
              <a:t>SUBSONIC MINIMUM DRAG BUILDUP</a:t>
            </a:r>
          </a:p>
        </c:rich>
      </c:tx>
      <c:layout>
        <c:manualLayout>
          <c:xMode val="edge"/>
          <c:yMode val="edge"/>
          <c:x val="0.37069922308546072"/>
          <c:y val="1.9575856443719418E-2"/>
        </c:manualLayout>
      </c:layout>
      <c:overlay val="0"/>
      <c:spPr>
        <a:noFill/>
        <a:ln w="25400">
          <a:noFill/>
        </a:ln>
      </c:spPr>
    </c:title>
    <c:autoTitleDeleted val="0"/>
    <c:plotArea>
      <c:layout>
        <c:manualLayout>
          <c:layoutTarget val="inner"/>
          <c:xMode val="edge"/>
          <c:yMode val="edge"/>
          <c:x val="0.27192008879023316"/>
          <c:y val="0.2039151712887439"/>
          <c:w val="0.45615982241953379"/>
          <c:h val="0.67047308319738985"/>
        </c:manualLayout>
      </c:layout>
      <c:pieChart>
        <c:varyColors val="1"/>
        <c:ser>
          <c:idx val="0"/>
          <c:order val="0"/>
          <c:spPr>
            <a:solidFill>
              <a:srgbClr val="9999FF"/>
            </a:solidFill>
            <a:ln w="12700">
              <a:solidFill>
                <a:srgbClr val="000000"/>
              </a:solidFill>
              <a:prstDash val="solid"/>
            </a:ln>
          </c:spPr>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Lbls>
            <c:numFmt formatCode="0%" sourceLinked="0"/>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cat>
            <c:strRef>
              <c:f>Aerodynamics!$A$21:$A$25</c:f>
              <c:strCache>
                <c:ptCount val="5"/>
                <c:pt idx="0">
                  <c:v>Wing</c:v>
                </c:pt>
                <c:pt idx="1">
                  <c:v>Horizontal Tail</c:v>
                </c:pt>
                <c:pt idx="2">
                  <c:v>Vertical Tail</c:v>
                </c:pt>
                <c:pt idx="3">
                  <c:v>Fuselage</c:v>
                </c:pt>
                <c:pt idx="4">
                  <c:v>Nacelles</c:v>
                </c:pt>
              </c:strCache>
            </c:strRef>
          </c:cat>
          <c:val>
            <c:numRef>
              <c:f>Aerodynamics!$J$21:$J$25</c:f>
              <c:numCache>
                <c:formatCode>0.0000_)</c:formatCode>
                <c:ptCount val="5"/>
                <c:pt idx="0">
                  <c:v>6.6335605240474054E-3</c:v>
                </c:pt>
                <c:pt idx="1">
                  <c:v>1.8319392626215891E-3</c:v>
                </c:pt>
                <c:pt idx="2">
                  <c:v>1.71672186524837E-3</c:v>
                </c:pt>
                <c:pt idx="3">
                  <c:v>4.2029566456518643E-3</c:v>
                </c:pt>
                <c:pt idx="4">
                  <c:v>1.2987436093483814E-3</c:v>
                </c:pt>
              </c:numCache>
            </c:numRef>
          </c:val>
        </c:ser>
        <c:dLbls>
          <c:showLegendKey val="0"/>
          <c:showVal val="0"/>
          <c:showCatName val="0"/>
          <c:showSerName val="0"/>
          <c:showPercent val="1"/>
          <c:showBubbleSize val="0"/>
          <c:showLeaderLines val="1"/>
        </c:dLbls>
        <c:firstSliceAng val="0"/>
      </c:pieChart>
      <c:spPr>
        <a:solidFill>
          <a:srgbClr val="C0C0C0"/>
        </a:solidFill>
        <a:ln w="12700">
          <a:solidFill>
            <a:srgbClr val="808080"/>
          </a:solidFill>
          <a:prstDash val="solid"/>
        </a:ln>
      </c:spPr>
    </c:plotArea>
    <c:plotVisOnly val="0"/>
    <c:dispBlanksAs val="zero"/>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n-US"/>
              <a:t>SUBSONIC MINIMUM DRAG BUILDUP</a:t>
            </a:r>
          </a:p>
        </c:rich>
      </c:tx>
      <c:layout>
        <c:manualLayout>
          <c:xMode val="edge"/>
          <c:yMode val="edge"/>
          <c:x val="0.37069922308546072"/>
          <c:y val="1.9575856443719418E-2"/>
        </c:manualLayout>
      </c:layout>
      <c:overlay val="0"/>
      <c:spPr>
        <a:noFill/>
        <a:ln w="25400">
          <a:noFill/>
        </a:ln>
      </c:spPr>
    </c:title>
    <c:autoTitleDeleted val="0"/>
    <c:plotArea>
      <c:layout>
        <c:manualLayout>
          <c:layoutTarget val="inner"/>
          <c:xMode val="edge"/>
          <c:yMode val="edge"/>
          <c:x val="9.8779134295227528E-2"/>
          <c:y val="0.11256117455138664"/>
          <c:w val="0.89012208657047742"/>
          <c:h val="0.78140293637846669"/>
        </c:manualLayout>
      </c:layout>
      <c:barChart>
        <c:barDir val="col"/>
        <c:grouping val="clustered"/>
        <c:varyColors val="0"/>
        <c:ser>
          <c:idx val="0"/>
          <c:order val="0"/>
          <c:spPr>
            <a:solidFill>
              <a:srgbClr val="0000FF"/>
            </a:solidFill>
            <a:ln w="12700">
              <a:solidFill>
                <a:srgbClr val="000000"/>
              </a:solidFill>
              <a:prstDash val="solid"/>
            </a:ln>
          </c:spPr>
          <c:invertIfNegative val="0"/>
          <c:cat>
            <c:strRef>
              <c:f>Aerodynamics!$A$21:$A$25</c:f>
              <c:strCache>
                <c:ptCount val="5"/>
                <c:pt idx="0">
                  <c:v>Wing</c:v>
                </c:pt>
                <c:pt idx="1">
                  <c:v>Horizontal Tail</c:v>
                </c:pt>
                <c:pt idx="2">
                  <c:v>Vertical Tail</c:v>
                </c:pt>
                <c:pt idx="3">
                  <c:v>Fuselage</c:v>
                </c:pt>
                <c:pt idx="4">
                  <c:v>Nacelles</c:v>
                </c:pt>
              </c:strCache>
            </c:strRef>
          </c:cat>
          <c:val>
            <c:numRef>
              <c:f>Aerodynamics!$J$21:$J$25</c:f>
              <c:numCache>
                <c:formatCode>0.0000_)</c:formatCode>
                <c:ptCount val="5"/>
                <c:pt idx="0">
                  <c:v>6.6335605240474054E-3</c:v>
                </c:pt>
                <c:pt idx="1">
                  <c:v>1.8319392626215891E-3</c:v>
                </c:pt>
                <c:pt idx="2">
                  <c:v>1.71672186524837E-3</c:v>
                </c:pt>
                <c:pt idx="3">
                  <c:v>4.2029566456518643E-3</c:v>
                </c:pt>
                <c:pt idx="4">
                  <c:v>1.2987436093483814E-3</c:v>
                </c:pt>
              </c:numCache>
            </c:numRef>
          </c:val>
        </c:ser>
        <c:dLbls>
          <c:showLegendKey val="0"/>
          <c:showVal val="0"/>
          <c:showCatName val="0"/>
          <c:showSerName val="0"/>
          <c:showPercent val="0"/>
          <c:showBubbleSize val="0"/>
        </c:dLbls>
        <c:gapWidth val="150"/>
        <c:axId val="355908152"/>
        <c:axId val="355908544"/>
      </c:barChart>
      <c:catAx>
        <c:axId val="355908152"/>
        <c:scaling>
          <c:orientation val="minMax"/>
        </c:scaling>
        <c:delete val="0"/>
        <c:axPos val="b"/>
        <c:title>
          <c:tx>
            <c:rich>
              <a:bodyPr/>
              <a:lstStyle/>
              <a:p>
                <a:pPr>
                  <a:defRPr sz="1000" b="0" i="0" u="none" strike="noStrike" baseline="0">
                    <a:solidFill>
                      <a:srgbClr val="000000"/>
                    </a:solidFill>
                    <a:latin typeface="Arial"/>
                    <a:ea typeface="Arial"/>
                    <a:cs typeface="Arial"/>
                  </a:defRPr>
                </a:pPr>
                <a:r>
                  <a:rPr lang="en-US"/>
                  <a:t>MAJOR COMPONENT</a:t>
                </a:r>
              </a:p>
            </c:rich>
          </c:tx>
          <c:layout>
            <c:manualLayout>
              <c:xMode val="edge"/>
              <c:yMode val="edge"/>
              <c:x val="0.4683684794672589"/>
              <c:y val="0.94453507340946163"/>
            </c:manualLayout>
          </c:layout>
          <c:overlay val="0"/>
          <c:spPr>
            <a:noFill/>
            <a:ln w="25400">
              <a:noFill/>
            </a:ln>
          </c:spPr>
        </c:title>
        <c:numFmt formatCode="General" sourceLinked="1"/>
        <c:majorTickMark val="in"/>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55908544"/>
        <c:crosses val="autoZero"/>
        <c:auto val="1"/>
        <c:lblAlgn val="ctr"/>
        <c:lblOffset val="100"/>
        <c:tickLblSkip val="1"/>
        <c:tickMarkSkip val="1"/>
        <c:noMultiLvlLbl val="0"/>
      </c:catAx>
      <c:valAx>
        <c:axId val="355908544"/>
        <c:scaling>
          <c:orientation val="minMax"/>
        </c:scaling>
        <c:delete val="0"/>
        <c:axPos val="l"/>
        <c:title>
          <c:tx>
            <c:rich>
              <a:bodyPr/>
              <a:lstStyle/>
              <a:p>
                <a:pPr>
                  <a:defRPr sz="1000" b="0" i="0" u="none" strike="noStrike" baseline="0">
                    <a:solidFill>
                      <a:srgbClr val="000000"/>
                    </a:solidFill>
                    <a:latin typeface="Arial"/>
                    <a:ea typeface="Arial"/>
                    <a:cs typeface="Arial"/>
                  </a:defRPr>
                </a:pPr>
                <a:r>
                  <a:rPr lang="en-US"/>
                  <a:t>DRAG COEFF. BASED ON REF. WING AREA</a:t>
                </a:r>
              </a:p>
            </c:rich>
          </c:tx>
          <c:layout>
            <c:manualLayout>
              <c:xMode val="edge"/>
              <c:yMode val="edge"/>
              <c:x val="1.2208657047724751E-2"/>
              <c:y val="0.27569331158238175"/>
            </c:manualLayout>
          </c:layout>
          <c:overlay val="0"/>
          <c:spPr>
            <a:noFill/>
            <a:ln w="25400">
              <a:noFill/>
            </a:ln>
          </c:spPr>
        </c:title>
        <c:numFmt formatCode="0.0000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55908152"/>
        <c:crosses val="autoZero"/>
        <c:crossBetween val="between"/>
      </c:valAx>
      <c:spPr>
        <a:solidFill>
          <a:srgbClr val="C0C0C0"/>
        </a:solidFill>
        <a:ln w="25400">
          <a:noFill/>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n-US"/>
              <a:t>AIRCRAFT C.G. LOCATION</a:t>
            </a:r>
          </a:p>
        </c:rich>
      </c:tx>
      <c:layout>
        <c:manualLayout>
          <c:xMode val="edge"/>
          <c:yMode val="edge"/>
          <c:x val="0.40732519422863495"/>
          <c:y val="1.9575856443719418E-2"/>
        </c:manualLayout>
      </c:layout>
      <c:overlay val="0"/>
      <c:spPr>
        <a:noFill/>
        <a:ln w="25400">
          <a:noFill/>
        </a:ln>
      </c:spPr>
    </c:title>
    <c:autoTitleDeleted val="0"/>
    <c:plotArea>
      <c:layout>
        <c:manualLayout>
          <c:layoutTarget val="inner"/>
          <c:xMode val="edge"/>
          <c:yMode val="edge"/>
          <c:x val="9.7275446073827945E-2"/>
          <c:y val="0.11256110673732188"/>
          <c:w val="0.87680355160932322"/>
          <c:h val="0.78140293637846669"/>
        </c:manualLayout>
      </c:layout>
      <c:scatterChart>
        <c:scatterStyle val="lineMarker"/>
        <c:varyColors val="0"/>
        <c:ser>
          <c:idx val="0"/>
          <c:order val="0"/>
          <c:spPr>
            <a:ln w="12700">
              <a:solidFill>
                <a:srgbClr val="0000FF"/>
              </a:solidFill>
              <a:prstDash val="solid"/>
            </a:ln>
          </c:spPr>
          <c:marker>
            <c:symbol val="square"/>
            <c:size val="5"/>
            <c:spPr>
              <a:noFill/>
              <a:ln>
                <a:solidFill>
                  <a:srgbClr val="0000FF"/>
                </a:solidFill>
                <a:prstDash val="solid"/>
              </a:ln>
            </c:spPr>
          </c:marker>
          <c:dLbls>
            <c:dLbl>
              <c:idx val="0"/>
              <c:layout/>
              <c:tx>
                <c:strRef>
                  <c:f>'Wt &amp; Balance'!$A$164</c:f>
                  <c:strCache>
                    <c:ptCount val="1"/>
                    <c:pt idx="0">
                      <c:v>Weight Empty</c:v>
                    </c:pt>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layout/>
                  <c15:dlblFieldTable>
                    <c15:dlblFTEntry>
                      <c15:txfldGUID>{E22F5B92-AA36-4E78-9224-A0FBB0C841CF}</c15:txfldGUID>
                      <c15:f>'Wt &amp; Balance'!$A$164</c15:f>
                      <c15:dlblFieldTableCache>
                        <c:ptCount val="1"/>
                        <c:pt idx="0">
                          <c:v>Weight Empty</c:v>
                        </c:pt>
                      </c15:dlblFieldTableCache>
                    </c15:dlblFTEntry>
                  </c15:dlblFieldTable>
                  <c15:showDataLabelsRange val="0"/>
                </c:ext>
              </c:extLst>
            </c:dLbl>
            <c:dLbl>
              <c:idx val="1"/>
              <c:layout/>
              <c:tx>
                <c:strRef>
                  <c:f>'Wt &amp; Balance'!$A$165</c:f>
                  <c:strCache>
                    <c:ptCount val="1"/>
                    <c:pt idx="0">
                      <c:v>Operating Weight Empty</c:v>
                    </c:pt>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layout/>
                  <c15:dlblFieldTable>
                    <c15:dlblFTEntry>
                      <c15:txfldGUID>{CDEA6AAC-BE5D-47A7-81EE-878F2ECCD131}</c15:txfldGUID>
                      <c15:f>'Wt &amp; Balance'!$A$165</c15:f>
                      <c15:dlblFieldTableCache>
                        <c:ptCount val="1"/>
                        <c:pt idx="0">
                          <c:v>Operating Weight Empty</c:v>
                        </c:pt>
                      </c15:dlblFieldTableCache>
                    </c15:dlblFTEntry>
                  </c15:dlblFieldTable>
                  <c15:showDataLabelsRange val="0"/>
                </c:ext>
              </c:extLst>
            </c:dLbl>
            <c:dLbl>
              <c:idx val="2"/>
              <c:layout/>
              <c:tx>
                <c:strRef>
                  <c:f>'Wt &amp; Balance'!$A$166</c:f>
                  <c:strCache>
                    <c:ptCount val="1"/>
                    <c:pt idx="0">
                      <c:v>Zero Fuel Weight</c:v>
                    </c:pt>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layout/>
                  <c15:dlblFieldTable>
                    <c15:dlblFTEntry>
                      <c15:txfldGUID>{B8A0A181-D594-45AF-A75F-2A834EB653B4}</c15:txfldGUID>
                      <c15:f>'Wt &amp; Balance'!$A$166</c15:f>
                      <c15:dlblFieldTableCache>
                        <c:ptCount val="1"/>
                        <c:pt idx="0">
                          <c:v>Zero Fuel Weight</c:v>
                        </c:pt>
                      </c15:dlblFieldTableCache>
                    </c15:dlblFTEntry>
                  </c15:dlblFieldTable>
                  <c15:showDataLabelsRange val="0"/>
                </c:ext>
              </c:extLst>
            </c:dLbl>
            <c:dLbl>
              <c:idx val="3"/>
              <c:layout/>
              <c:tx>
                <c:strRef>
                  <c:f>'Wt &amp; Balance'!$A$167</c:f>
                  <c:strCache>
                    <c:ptCount val="1"/>
                    <c:pt idx="0">
                      <c:v>Takeoff Gross Weight</c:v>
                    </c:pt>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layout/>
                  <c15:dlblFieldTable>
                    <c15:dlblFTEntry>
                      <c15:txfldGUID>{ACEFB149-A044-4226-BBF9-B2830508C0DC}</c15:txfldGUID>
                      <c15:f>'Wt &amp; Balance'!$A$167</c15:f>
                      <c15:dlblFieldTableCache>
                        <c:ptCount val="1"/>
                        <c:pt idx="0">
                          <c:v>Takeoff Gross Weight</c:v>
                        </c:pt>
                      </c15:dlblFieldTableCache>
                    </c15:dlblFTEntry>
                  </c15:dlblFieldTable>
                  <c15:showDataLabelsRange val="0"/>
                </c:ext>
              </c:extLst>
            </c:dLbl>
            <c:dLbl>
              <c:idx val="4"/>
              <c:layout/>
              <c:tx>
                <c:strRef>
                  <c:f>'Wt &amp; Balance'!$A$168</c:f>
                  <c:strCache>
                    <c:ptCount val="1"/>
                    <c:pt idx="0">
                      <c:v>Zero Payload Weight</c:v>
                    </c:pt>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layout/>
                  <c15:dlblFieldTable>
                    <c15:dlblFTEntry>
                      <c15:txfldGUID>{8E0978F4-C4B3-44B2-B7E6-7A02CFC78890}</c15:txfldGUID>
                      <c15:f>'Wt &amp; Balance'!$A$168</c15:f>
                      <c15:dlblFieldTableCache>
                        <c:ptCount val="1"/>
                        <c:pt idx="0">
                          <c:v>Zero Payload Weight</c:v>
                        </c:pt>
                      </c15:dlblFieldTableCache>
                    </c15:dlblFTEntry>
                  </c15:dlblFieldTable>
                  <c15:showDataLabelsRange val="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'Wt &amp; Balance'!$I$164:$I$169</c:f>
              <c:numCache>
                <c:formatCode>0.00_)</c:formatCode>
                <c:ptCount val="6"/>
                <c:pt idx="0">
                  <c:v>0.27503772608585281</c:v>
                </c:pt>
                <c:pt idx="1">
                  <c:v>0.24825413465170548</c:v>
                </c:pt>
                <c:pt idx="2">
                  <c:v>0.18616504379705409</c:v>
                </c:pt>
                <c:pt idx="3">
                  <c:v>0.13873342784400045</c:v>
                </c:pt>
                <c:pt idx="4">
                  <c:v>0.17544136214997719</c:v>
                </c:pt>
                <c:pt idx="5">
                  <c:v>0.24825413465170548</c:v>
                </c:pt>
              </c:numCache>
            </c:numRef>
          </c:xVal>
          <c:yVal>
            <c:numRef>
              <c:f>'Wt &amp; Balance'!$B$164:$B$169</c:f>
              <c:numCache>
                <c:formatCode>0_)</c:formatCode>
                <c:ptCount val="6"/>
                <c:pt idx="0">
                  <c:v>28209.435674879358</c:v>
                </c:pt>
                <c:pt idx="1">
                  <c:v>28632.862786633181</c:v>
                </c:pt>
                <c:pt idx="2">
                  <c:v>30532.862786633181</c:v>
                </c:pt>
                <c:pt idx="3">
                  <c:v>47875.573962015624</c:v>
                </c:pt>
                <c:pt idx="4">
                  <c:v>45975.573962015624</c:v>
                </c:pt>
                <c:pt idx="5">
                  <c:v>28632.862786633181</c:v>
                </c:pt>
              </c:numCache>
            </c:numRef>
          </c:yVal>
          <c:smooth val="0"/>
        </c:ser>
        <c:dLbls>
          <c:showLegendKey val="0"/>
          <c:showVal val="0"/>
          <c:showCatName val="0"/>
          <c:showSerName val="0"/>
          <c:showPercent val="0"/>
          <c:showBubbleSize val="0"/>
        </c:dLbls>
        <c:axId val="355909328"/>
        <c:axId val="355909720"/>
      </c:scatterChart>
      <c:valAx>
        <c:axId val="355909328"/>
        <c:scaling>
          <c:orientation val="minMax"/>
          <c:max val="0.4"/>
          <c:min val="0.1"/>
        </c:scaling>
        <c:delete val="0"/>
        <c:axPos val="b"/>
        <c:title>
          <c:tx>
            <c:rich>
              <a:bodyPr/>
              <a:lstStyle/>
              <a:p>
                <a:pPr>
                  <a:defRPr sz="1000" b="0" i="0" u="none" strike="noStrike" baseline="0">
                    <a:solidFill>
                      <a:srgbClr val="000000"/>
                    </a:solidFill>
                    <a:latin typeface="Arial"/>
                    <a:ea typeface="Arial"/>
                    <a:cs typeface="Arial"/>
                  </a:defRPr>
                </a:pPr>
                <a:r>
                  <a:rPr lang="en-US"/>
                  <a:t>MAC</a:t>
                </a:r>
              </a:p>
            </c:rich>
          </c:tx>
          <c:layout>
            <c:manualLayout>
              <c:xMode val="edge"/>
              <c:yMode val="edge"/>
              <c:x val="0.51498335183129829"/>
              <c:y val="0.94453507340946163"/>
            </c:manualLayout>
          </c:layout>
          <c:overlay val="0"/>
          <c:spPr>
            <a:noFill/>
            <a:ln w="25400">
              <a:noFill/>
            </a:ln>
          </c:spPr>
        </c:title>
        <c:numFmt formatCode="0.00_)" sourceLinked="1"/>
        <c:majorTickMark val="in"/>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55909720"/>
        <c:crosses val="autoZero"/>
        <c:crossBetween val="midCat"/>
      </c:valAx>
      <c:valAx>
        <c:axId val="355909720"/>
        <c:scaling>
          <c:orientation val="minMax"/>
          <c:min val="25000"/>
        </c:scaling>
        <c:delete val="0"/>
        <c:axPos val="l"/>
        <c:title>
          <c:tx>
            <c:rich>
              <a:bodyPr/>
              <a:lstStyle/>
              <a:p>
                <a:pPr>
                  <a:defRPr sz="1000" b="0" i="0" u="none" strike="noStrike" baseline="0">
                    <a:solidFill>
                      <a:srgbClr val="000000"/>
                    </a:solidFill>
                    <a:latin typeface="Arial"/>
                    <a:ea typeface="Arial"/>
                    <a:cs typeface="Arial"/>
                  </a:defRPr>
                </a:pPr>
                <a:r>
                  <a:rPr lang="en-US"/>
                  <a:t>WEIGHT [LB]</a:t>
                </a:r>
              </a:p>
            </c:rich>
          </c:tx>
          <c:layout>
            <c:manualLayout>
              <c:xMode val="edge"/>
              <c:yMode val="edge"/>
              <c:x val="1.2208657047724751E-2"/>
              <c:y val="0.4355628058727572"/>
            </c:manualLayout>
          </c:layout>
          <c:overlay val="0"/>
          <c:spPr>
            <a:noFill/>
            <a:ln w="25400">
              <a:noFill/>
            </a:ln>
          </c:spPr>
        </c:title>
        <c:numFmt formatCode="0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55909328"/>
        <c:crosses val="autoZero"/>
        <c:crossBetween val="midCat"/>
      </c:valAx>
      <c:spPr>
        <a:solidFill>
          <a:schemeClr val="bg1"/>
        </a:solidFill>
        <a:ln w="25400">
          <a:noFill/>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bin"/></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9.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10.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11.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12.xml"/></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13.xml"/></Relationships>
</file>

<file path=xl/chartsheets/sheet1.xml><?xml version="1.0" encoding="utf-8"?>
<chartsheet xmlns="http://schemas.openxmlformats.org/spreadsheetml/2006/main" xmlns:r="http://schemas.openxmlformats.org/officeDocument/2006/relationships">
  <sheetPr/>
  <sheetViews>
    <sheetView zoomScale="103" workbookViewId="0" zoomToFit="1"/>
  </sheetViews>
  <pageMargins left="0.75" right="0.75" top="1" bottom="1" header="0.5" footer="0.5"/>
  <pageSetup orientation="landscape" r:id="rId1"/>
  <headerFooter alignWithMargins="0"/>
  <drawing r:id="rId2"/>
</chartsheet>
</file>

<file path=xl/chartsheets/sheet2.xml><?xml version="1.0" encoding="utf-8"?>
<chartsheet xmlns="http://schemas.openxmlformats.org/spreadsheetml/2006/main" xmlns:r="http://schemas.openxmlformats.org/officeDocument/2006/relationships">
  <sheetPr/>
  <sheetViews>
    <sheetView zoomScale="62" workbookViewId="0"/>
  </sheetViews>
  <pageMargins left="0.75" right="0.75" top="1" bottom="1" header="0.5" footer="0.5"/>
  <pageSetup orientation="landscape" r:id="rId1"/>
  <headerFooter alignWithMargins="0"/>
  <drawing r:id="rId2"/>
</chartsheet>
</file>

<file path=xl/chartsheets/sheet3.xml><?xml version="1.0" encoding="utf-8"?>
<chartsheet xmlns="http://schemas.openxmlformats.org/spreadsheetml/2006/main" xmlns:r="http://schemas.openxmlformats.org/officeDocument/2006/relationships">
  <sheetPr/>
  <sheetViews>
    <sheetView zoomScale="95" workbookViewId="0" zoomToFit="1"/>
  </sheetViews>
  <pageMargins left="0.75" right="0.75" top="1" bottom="1" header="0.5" footer="0.5"/>
  <headerFooter alignWithMargins="0"/>
  <drawing r:id="rId1"/>
</chartsheet>
</file>

<file path=xl/chartsheets/sheet4.xml><?xml version="1.0" encoding="utf-8"?>
<chartsheet xmlns="http://schemas.openxmlformats.org/spreadsheetml/2006/main" xmlns:r="http://schemas.openxmlformats.org/officeDocument/2006/relationships">
  <sheetPr/>
  <sheetViews>
    <sheetView zoomScale="96" workbookViewId="0" zoomToFit="1"/>
  </sheetViews>
  <pageMargins left="0.75" right="0.75" top="1" bottom="1" header="0.5" footer="0.5"/>
  <headerFooter alignWithMargins="0"/>
  <drawing r:id="rId1"/>
</chartsheet>
</file>

<file path=xl/chartsheets/sheet5.xml><?xml version="1.0" encoding="utf-8"?>
<chartsheet xmlns="http://schemas.openxmlformats.org/spreadsheetml/2006/main" xmlns:r="http://schemas.openxmlformats.org/officeDocument/2006/relationships">
  <sheetPr/>
  <sheetViews>
    <sheetView zoomScale="96" workbookViewId="0" zoomToFit="1"/>
  </sheetViews>
  <pageMargins left="0.75" right="0.75" top="1" bottom="1" header="0.5" footer="0.5"/>
  <headerFooter alignWithMargins="0"/>
  <drawing r:id="rId1"/>
</chartsheet>
</file>

<file path=xl/chartsheets/sheet6.xml><?xml version="1.0" encoding="utf-8"?>
<chartsheet xmlns="http://schemas.openxmlformats.org/spreadsheetml/2006/main" xmlns:r="http://schemas.openxmlformats.org/officeDocument/2006/relationships">
  <sheetPr/>
  <sheetViews>
    <sheetView zoomScale="96" workbookViewId="0" zoomToFit="1"/>
  </sheetViews>
  <pageMargins left="0.75" right="0.75" top="1" bottom="1" header="0.5" footer="0.5"/>
  <headerFooter alignWithMargins="0"/>
  <drawing r:id="rId1"/>
</chartsheet>
</file>

<file path=xl/chartsheets/sheet7.xml><?xml version="1.0" encoding="utf-8"?>
<chartsheet xmlns="http://schemas.openxmlformats.org/spreadsheetml/2006/main" xmlns:r="http://schemas.openxmlformats.org/officeDocument/2006/relationships">
  <sheetPr/>
  <sheetViews>
    <sheetView tabSelected="1" zoomScale="38" workbookViewId="0" zoomToFit="1"/>
  </sheetViews>
  <pageMargins left="0.75" right="0.75" top="1" bottom="1" header="0.5" footer="0.5"/>
  <headerFooter alignWithMargins="0"/>
  <drawing r:id="rId1"/>
</chartsheet>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6</xdr:col>
      <xdr:colOff>9525</xdr:colOff>
      <xdr:row>7</xdr:row>
      <xdr:rowOff>118110</xdr:rowOff>
    </xdr:from>
    <xdr:to>
      <xdr:col>11</xdr:col>
      <xdr:colOff>655320</xdr:colOff>
      <xdr:row>15</xdr:row>
      <xdr:rowOff>7619</xdr:rowOff>
    </xdr:to>
    <xdr:sp macro="" textlink="">
      <xdr:nvSpPr>
        <xdr:cNvPr id="1026" name="Text Box 2"/>
        <xdr:cNvSpPr txBox="1">
          <a:spLocks noChangeArrowheads="1"/>
        </xdr:cNvSpPr>
      </xdr:nvSpPr>
      <xdr:spPr bwMode="auto">
        <a:xfrm>
          <a:off x="5221605" y="1344930"/>
          <a:ext cx="3960495" cy="1291589"/>
        </a:xfrm>
        <a:prstGeom prst="rect">
          <a:avLst/>
        </a:prstGeom>
        <a:solidFill>
          <a:schemeClr val="bg1"/>
        </a:solidFill>
        <a:ln w="19050">
          <a:solidFill>
            <a:srgbClr val="000000"/>
          </a:solidFill>
          <a:miter lim="800000"/>
          <a:headEnd/>
          <a:tailEnd/>
        </a:ln>
        <a:effectLst>
          <a:outerShdw blurRad="50800" dist="38100" dir="2700000" algn="tl" rotWithShape="0">
            <a:prstClr val="black">
              <a:alpha val="40000"/>
            </a:prstClr>
          </a:outerShdw>
        </a:effectLst>
      </xdr:spPr>
      <xdr:txBody>
        <a:bodyPr vertOverflow="clip" wrap="square" lIns="27432" tIns="18288" rIns="0" bIns="0" anchor="t" upright="1"/>
        <a:lstStyle/>
        <a:p>
          <a:pPr algn="l" rtl="0">
            <a:defRPr sz="1000"/>
          </a:pPr>
          <a:r>
            <a:rPr lang="en-US" sz="1000" b="0" i="0" u="none" strike="noStrike" baseline="0">
              <a:solidFill>
                <a:srgbClr val="000000"/>
              </a:solidFill>
              <a:latin typeface="+mn-lt"/>
            </a:rPr>
            <a:t>Rev 2 corrects the pressure calculation for non-standard days in the atmosphere routine. It now matches the routine at</a:t>
          </a:r>
        </a:p>
        <a:p>
          <a:pPr algn="l" rtl="0">
            <a:defRPr sz="1000"/>
          </a:pPr>
          <a:r>
            <a:rPr lang="en-US" sz="1000" b="0" i="0" u="none" strike="noStrike" baseline="0">
              <a:solidFill>
                <a:srgbClr val="000000"/>
              </a:solidFill>
              <a:latin typeface="+mn-lt"/>
            </a:rPr>
            <a:t>http://www.digitaldutch.com/atmoscalc/</a:t>
          </a:r>
        </a:p>
        <a:p>
          <a:pPr algn="l" rtl="0">
            <a:defRPr sz="1000"/>
          </a:pPr>
          <a:r>
            <a:rPr lang="en-US" sz="1000" b="0" i="0" u="none" strike="noStrike" baseline="0">
              <a:solidFill>
                <a:srgbClr val="000000"/>
              </a:solidFill>
              <a:latin typeface="+mn-lt"/>
            </a:rPr>
            <a:t>Rev 3 updates fonts and improves readability</a:t>
          </a:r>
        </a:p>
        <a:p>
          <a:pPr algn="l" rtl="0">
            <a:defRPr sz="1000"/>
          </a:pPr>
          <a:r>
            <a:rPr lang="en-US" sz="1000" b="0" i="0" u="none" strike="noStrike" baseline="0">
              <a:solidFill>
                <a:srgbClr val="000000"/>
              </a:solidFill>
              <a:latin typeface="+mn-lt"/>
            </a:rPr>
            <a:t>Rev 4 uses Solver (see below) to find TOGW value</a:t>
          </a:r>
        </a:p>
        <a:p>
          <a:pPr algn="l" rtl="0">
            <a:defRPr sz="1000"/>
          </a:pPr>
          <a:r>
            <a:rPr lang="en-US" sz="1000" b="0" i="0" u="none" strike="noStrike" baseline="0">
              <a:solidFill>
                <a:srgbClr val="000000"/>
              </a:solidFill>
              <a:latin typeface="+mn-lt"/>
            </a:rPr>
            <a:t>Rev 5 moves modules on to separate sheets</a:t>
          </a:r>
        </a:p>
        <a:p>
          <a:pPr algn="l" rtl="0">
            <a:defRPr sz="1000"/>
          </a:pPr>
          <a:r>
            <a:rPr lang="en-US" sz="1000" b="0" i="0" u="none" strike="noStrike" baseline="0">
              <a:solidFill>
                <a:srgbClr val="000000"/>
              </a:solidFill>
              <a:latin typeface="+mn-lt"/>
            </a:rPr>
            <a:t>Rev 6 renames to 'Demo Sizing and Performance rev  0'</a:t>
          </a:r>
        </a:p>
        <a:p>
          <a:pPr algn="l" rtl="0">
            <a:defRPr sz="1000"/>
          </a:pPr>
          <a:endParaRPr lang="en-US" sz="1000" b="0" i="0" u="none" strike="noStrike" baseline="0">
            <a:solidFill>
              <a:srgbClr val="000000"/>
            </a:solidFill>
            <a:latin typeface="+mn-lt"/>
          </a:endParaRPr>
        </a:p>
      </xdr:txBody>
    </xdr:sp>
    <xdr:clientData/>
  </xdr:twoCellAnchor>
  <xdr:twoCellAnchor>
    <xdr:from>
      <xdr:col>0</xdr:col>
      <xdr:colOff>106680</xdr:colOff>
      <xdr:row>17</xdr:row>
      <xdr:rowOff>76200</xdr:rowOff>
    </xdr:from>
    <xdr:to>
      <xdr:col>3</xdr:col>
      <xdr:colOff>541020</xdr:colOff>
      <xdr:row>28</xdr:row>
      <xdr:rowOff>152400</xdr:rowOff>
    </xdr:to>
    <xdr:sp macro="" textlink="">
      <xdr:nvSpPr>
        <xdr:cNvPr id="2" name="TextBox 1"/>
        <xdr:cNvSpPr txBox="1"/>
      </xdr:nvSpPr>
      <xdr:spPr>
        <a:xfrm>
          <a:off x="106680" y="3070860"/>
          <a:ext cx="3657600" cy="1935480"/>
        </a:xfrm>
        <a:prstGeom prst="rect">
          <a:avLst/>
        </a:prstGeom>
        <a:solidFill>
          <a:schemeClr val="lt1"/>
        </a:solidFill>
        <a:ln w="19050" cmpd="sng">
          <a:solidFill>
            <a:schemeClr val="tx1"/>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If Solver</a:t>
          </a:r>
          <a:r>
            <a:rPr lang="en-US" sz="1100" baseline="0">
              <a:solidFill>
                <a:schemeClr val="dk1"/>
              </a:solidFill>
              <a:effectLst/>
              <a:latin typeface="+mn-lt"/>
              <a:ea typeface="+mn-ea"/>
              <a:cs typeface="+mn-cs"/>
            </a:rPr>
            <a:t> doesn't appear on the taskbar when the Data tab is selected:</a:t>
          </a:r>
        </a:p>
        <a:p>
          <a:r>
            <a:rPr lang="en-US" sz="1100" baseline="0">
              <a:solidFill>
                <a:schemeClr val="dk1"/>
              </a:solidFill>
              <a:effectLst/>
              <a:latin typeface="+mn-lt"/>
              <a:ea typeface="+mn-ea"/>
              <a:cs typeface="+mn-cs"/>
            </a:rPr>
            <a:t>(for Office 2010) First make sure Solver is installed: File &gt; Options &gt; Add-ins &gt; Manage [Excel Add-ins]  Go &gt; Check box Solver Add-in</a:t>
          </a:r>
          <a:endParaRPr lang="en-US">
            <a:effectLst/>
          </a:endParaRP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Then make sure that</a:t>
          </a:r>
          <a:r>
            <a:rPr lang="en-US" sz="1100" baseline="0">
              <a:solidFill>
                <a:schemeClr val="dk1"/>
              </a:solidFill>
              <a:effectLst/>
              <a:latin typeface="+mn-lt"/>
              <a:ea typeface="+mn-ea"/>
              <a:cs typeface="+mn-cs"/>
            </a:rPr>
            <a:t> Solver is active on </a:t>
          </a:r>
          <a:r>
            <a:rPr lang="en-US" sz="1100" u="sng" baseline="0">
              <a:solidFill>
                <a:schemeClr val="dk1"/>
              </a:solidFill>
              <a:effectLst/>
              <a:latin typeface="+mn-lt"/>
              <a:ea typeface="+mn-ea"/>
              <a:cs typeface="+mn-cs"/>
            </a:rPr>
            <a:t>this</a:t>
          </a:r>
          <a:r>
            <a:rPr lang="en-US" sz="1100" baseline="0">
              <a:solidFill>
                <a:schemeClr val="dk1"/>
              </a:solidFill>
              <a:effectLst/>
              <a:latin typeface="+mn-lt"/>
              <a:ea typeface="+mn-ea"/>
              <a:cs typeface="+mn-cs"/>
            </a:rPr>
            <a:t> spreadsheet:  File &gt; Excel  options &gt; Add-ins &gt; Manage [Disabled Items]</a:t>
          </a:r>
        </a:p>
        <a:p>
          <a:endParaRPr lang="en-US">
            <a:effectLst/>
          </a:endParaRPr>
        </a:p>
        <a:p>
          <a:r>
            <a:rPr lang="en-US" sz="1100" b="0" baseline="0">
              <a:solidFill>
                <a:schemeClr val="dk1"/>
              </a:solidFill>
              <a:effectLst/>
              <a:latin typeface="+mn-lt"/>
              <a:ea typeface="+mn-ea"/>
              <a:cs typeface="+mn-cs"/>
            </a:rPr>
            <a:t>Solver </a:t>
          </a:r>
          <a:r>
            <a:rPr lang="en-US" sz="1100" b="0" u="sng" baseline="0">
              <a:solidFill>
                <a:schemeClr val="dk1"/>
              </a:solidFill>
              <a:effectLst/>
              <a:latin typeface="+mn-lt"/>
              <a:ea typeface="+mn-ea"/>
              <a:cs typeface="+mn-cs"/>
            </a:rPr>
            <a:t>must</a:t>
          </a:r>
          <a:r>
            <a:rPr lang="en-US" sz="1100" b="0" baseline="0">
              <a:solidFill>
                <a:schemeClr val="dk1"/>
              </a:solidFill>
              <a:effectLst/>
              <a:latin typeface="+mn-lt"/>
              <a:ea typeface="+mn-ea"/>
              <a:cs typeface="+mn-cs"/>
            </a:rPr>
            <a:t> be run from the Baseline sheet</a:t>
          </a:r>
          <a:endParaRPr lang="en-US" b="1">
            <a:effectLst/>
          </a:endParaRPr>
        </a:p>
        <a:p>
          <a:endParaRPr lang="en-US" sz="1100"/>
        </a:p>
      </xdr:txBody>
    </xdr:sp>
    <xdr:clientData/>
  </xdr:twoCellAnchor>
  <xdr:twoCellAnchor>
    <xdr:from>
      <xdr:col>5</xdr:col>
      <xdr:colOff>655320</xdr:colOff>
      <xdr:row>3</xdr:row>
      <xdr:rowOff>106680</xdr:rowOff>
    </xdr:from>
    <xdr:to>
      <xdr:col>11</xdr:col>
      <xdr:colOff>632460</xdr:colOff>
      <xdr:row>7</xdr:row>
      <xdr:rowOff>38100</xdr:rowOff>
    </xdr:to>
    <xdr:sp macro="" textlink="">
      <xdr:nvSpPr>
        <xdr:cNvPr id="3" name="TextBox 2"/>
        <xdr:cNvSpPr txBox="1"/>
      </xdr:nvSpPr>
      <xdr:spPr>
        <a:xfrm>
          <a:off x="5204460" y="632460"/>
          <a:ext cx="3954780" cy="632460"/>
        </a:xfrm>
        <a:prstGeom prst="rect">
          <a:avLst/>
        </a:prstGeom>
        <a:solidFill>
          <a:schemeClr val="lt1"/>
        </a:solidFill>
        <a:ln w="19050" cmpd="sng">
          <a:solidFill>
            <a:schemeClr val="tx1"/>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Aircraft configuration</a:t>
          </a:r>
          <a:r>
            <a:rPr lang="en-US" sz="1100" baseline="0"/>
            <a:t> is defined</a:t>
          </a:r>
          <a:r>
            <a:rPr lang="en-US" sz="1100"/>
            <a:t> in </a:t>
          </a:r>
          <a:r>
            <a:rPr lang="en-US" sz="1100">
              <a:solidFill>
                <a:srgbClr val="FF0000"/>
              </a:solidFill>
            </a:rPr>
            <a:t>red.</a:t>
          </a:r>
          <a:r>
            <a:rPr lang="en-US" sz="1100" baseline="0">
              <a:solidFill>
                <a:srgbClr val="FF0000"/>
              </a:solidFill>
            </a:rPr>
            <a:t> </a:t>
          </a:r>
          <a:r>
            <a:rPr lang="en-US" sz="1100" baseline="0">
              <a:solidFill>
                <a:sysClr val="windowText" lastClr="000000"/>
              </a:solidFill>
            </a:rPr>
            <a:t> Unless you are editing the spreadsheet, do not modify cells with contents in black.  These cells show the output from calculations. </a:t>
          </a:r>
          <a:endParaRPr lang="en-US" sz="1100">
            <a:solidFill>
              <a:srgbClr val="FF0000"/>
            </a:solidFill>
          </a:endParaRPr>
        </a:p>
      </xdr:txBody>
    </xdr:sp>
    <xdr:clientData/>
  </xdr:twoCellAnchor>
  <xdr:twoCellAnchor>
    <xdr:from>
      <xdr:col>6</xdr:col>
      <xdr:colOff>7620</xdr:colOff>
      <xdr:row>16</xdr:row>
      <xdr:rowOff>7620</xdr:rowOff>
    </xdr:from>
    <xdr:to>
      <xdr:col>12</xdr:col>
      <xdr:colOff>7620</xdr:colOff>
      <xdr:row>24</xdr:row>
      <xdr:rowOff>121920</xdr:rowOff>
    </xdr:to>
    <xdr:sp macro="" textlink="">
      <xdr:nvSpPr>
        <xdr:cNvPr id="4" name="TextBox 3"/>
        <xdr:cNvSpPr txBox="1"/>
      </xdr:nvSpPr>
      <xdr:spPr>
        <a:xfrm>
          <a:off x="5219700" y="2827020"/>
          <a:ext cx="3977640" cy="1447800"/>
        </a:xfrm>
        <a:prstGeom prst="rect">
          <a:avLst/>
        </a:prstGeom>
        <a:solidFill>
          <a:schemeClr val="lt1"/>
        </a:solidFill>
        <a:ln w="19050" cmpd="sng">
          <a:solidFill>
            <a:schemeClr val="tx1"/>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 the original formulation of Lotus</a:t>
          </a:r>
          <a:r>
            <a:rPr lang="en-US" sz="1100" baseline="0"/>
            <a:t> 1-2-3 (the spreadsheet software that this was originally written in), the name of a cell was defined by the contents of the cell immediately to the left of the named cell.  Although cells are named by a different procedure in Excel,  the old naming procedure helps to identify named cells more quickly, and has been retained here.</a:t>
          </a:r>
          <a:endParaRPr lang="en-US" sz="1100"/>
        </a:p>
      </xdr:txBody>
    </xdr:sp>
    <xdr:clientData/>
  </xdr:twoCellAnchor>
  <xdr:twoCellAnchor>
    <xdr:from>
      <xdr:col>0</xdr:col>
      <xdr:colOff>91440</xdr:colOff>
      <xdr:row>2</xdr:row>
      <xdr:rowOff>129540</xdr:rowOff>
    </xdr:from>
    <xdr:to>
      <xdr:col>4</xdr:col>
      <xdr:colOff>472440</xdr:colOff>
      <xdr:row>5</xdr:row>
      <xdr:rowOff>114300</xdr:rowOff>
    </xdr:to>
    <xdr:sp macro="" textlink="">
      <xdr:nvSpPr>
        <xdr:cNvPr id="5" name="TextBox 4"/>
        <xdr:cNvSpPr txBox="1"/>
      </xdr:nvSpPr>
      <xdr:spPr>
        <a:xfrm>
          <a:off x="91440" y="480060"/>
          <a:ext cx="4267200" cy="510540"/>
        </a:xfrm>
        <a:prstGeom prst="rect">
          <a:avLst/>
        </a:prstGeom>
        <a:solidFill>
          <a:schemeClr val="lt1"/>
        </a:solidFill>
        <a:ln w="19050" cmpd="sng">
          <a:solidFill>
            <a:schemeClr val="tx1"/>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Data for Canadair</a:t>
          </a:r>
          <a:r>
            <a:rPr lang="en-US" sz="1100" baseline="0"/>
            <a:t> Challenger with mission defined by NBAA range format (ASSET run J2899 dated 10 Oct 1988)</a:t>
          </a:r>
          <a:endParaRPr lang="en-US" sz="1100"/>
        </a:p>
      </xdr:txBody>
    </xdr:sp>
    <xdr:clientData/>
  </xdr:twoCellAnchor>
</xdr:wsDr>
</file>

<file path=xl/drawings/drawing10.xml><?xml version="1.0" encoding="utf-8"?>
<xdr:wsDr xmlns:xdr="http://schemas.openxmlformats.org/drawingml/2006/spreadsheetDrawing" xmlns:a="http://schemas.openxmlformats.org/drawingml/2006/main">
  <xdr:absoluteAnchor>
    <xdr:pos x="0" y="0"/>
    <xdr:ext cx="8651875" cy="627856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xdr:wsDr xmlns:xdr="http://schemas.openxmlformats.org/drawingml/2006/spreadsheetDrawing" xmlns:a="http://schemas.openxmlformats.org/drawingml/2006/main">
  <xdr:absoluteAnchor>
    <xdr:pos x="0" y="0"/>
    <xdr:ext cx="8651875" cy="627856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xdr:wsDr xmlns:xdr="http://schemas.openxmlformats.org/drawingml/2006/spreadsheetDrawing" xmlns:a="http://schemas.openxmlformats.org/drawingml/2006/main">
  <xdr:absoluteAnchor>
    <xdr:pos x="0" y="0"/>
    <xdr:ext cx="8651875" cy="627856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xdr:wsDr xmlns:xdr="http://schemas.openxmlformats.org/drawingml/2006/spreadsheetDrawing" xmlns:a="http://schemas.openxmlformats.org/drawingml/2006/main">
  <xdr:absoluteAnchor>
    <xdr:pos x="0" y="0"/>
    <xdr:ext cx="8622632" cy="6236368"/>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0</xdr:col>
      <xdr:colOff>121920</xdr:colOff>
      <xdr:row>3</xdr:row>
      <xdr:rowOff>60960</xdr:rowOff>
    </xdr:from>
    <xdr:to>
      <xdr:col>3</xdr:col>
      <xdr:colOff>30480</xdr:colOff>
      <xdr:row>8</xdr:row>
      <xdr:rowOff>160020</xdr:rowOff>
    </xdr:to>
    <xdr:sp macro="" textlink="">
      <xdr:nvSpPr>
        <xdr:cNvPr id="2" name="TextBox 1"/>
        <xdr:cNvSpPr txBox="1"/>
      </xdr:nvSpPr>
      <xdr:spPr>
        <a:xfrm>
          <a:off x="121920" y="586740"/>
          <a:ext cx="3063240" cy="975360"/>
        </a:xfrm>
        <a:prstGeom prst="rect">
          <a:avLst/>
        </a:prstGeom>
        <a:solidFill>
          <a:schemeClr val="lt1"/>
        </a:solidFill>
        <a:ln w="19050" cmpd="sng">
          <a:solidFill>
            <a:schemeClr val="tx1"/>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This is a somewhat unsatisfactory</a:t>
          </a:r>
          <a:r>
            <a:rPr lang="en-US" sz="1100" baseline="0"/>
            <a:t> attempt at producing a generalized mission profile.  Note that fuel burn may be expressed as a percentage of aircraft weight at the start of the segment, not as a weight ratio.</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365760</xdr:colOff>
      <xdr:row>2</xdr:row>
      <xdr:rowOff>144780</xdr:rowOff>
    </xdr:from>
    <xdr:to>
      <xdr:col>16</xdr:col>
      <xdr:colOff>441960</xdr:colOff>
      <xdr:row>11</xdr:row>
      <xdr:rowOff>129540</xdr:rowOff>
    </xdr:to>
    <xdr:sp macro="" textlink="">
      <xdr:nvSpPr>
        <xdr:cNvPr id="2" name="TextBox 1"/>
        <xdr:cNvSpPr txBox="1"/>
      </xdr:nvSpPr>
      <xdr:spPr>
        <a:xfrm>
          <a:off x="7094220" y="502920"/>
          <a:ext cx="3284220" cy="1584960"/>
        </a:xfrm>
        <a:prstGeom prst="rect">
          <a:avLst/>
        </a:prstGeom>
        <a:solidFill>
          <a:schemeClr val="lt1"/>
        </a:solidFill>
        <a:ln w="25400" cmpd="sng">
          <a:solidFill>
            <a:schemeClr val="tx1"/>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To run Solver:</a:t>
          </a:r>
        </a:p>
        <a:p>
          <a:r>
            <a:rPr lang="en-US" sz="1100"/>
            <a:t>Select Data tab </a:t>
          </a:r>
        </a:p>
        <a:p>
          <a:r>
            <a:rPr lang="en-US" sz="1100"/>
            <a:t>Go to Analysis section</a:t>
          </a:r>
        </a:p>
        <a:p>
          <a:r>
            <a:rPr lang="en-US" sz="1100"/>
            <a:t>Click ?=&gt; Solver</a:t>
          </a:r>
        </a:p>
        <a:p>
          <a:endParaRPr lang="en-US" sz="1100"/>
        </a:p>
        <a:p>
          <a:r>
            <a:rPr lang="en-US" sz="1100"/>
            <a:t>In Solver:</a:t>
          </a:r>
        </a:p>
        <a:p>
          <a:r>
            <a:rPr lang="en-US" sz="1100"/>
            <a:t>Set objective: WIETDIFF2 to value of 0</a:t>
          </a:r>
        </a:p>
        <a:p>
          <a:r>
            <a:rPr lang="en-US" sz="1100"/>
            <a:t>By Changing</a:t>
          </a:r>
          <a:r>
            <a:rPr lang="en-US" sz="1100" baseline="0"/>
            <a:t> Variable Cell: TOGW</a:t>
          </a:r>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579120</xdr:colOff>
      <xdr:row>32</xdr:row>
      <xdr:rowOff>60960</xdr:rowOff>
    </xdr:from>
    <xdr:to>
      <xdr:col>12</xdr:col>
      <xdr:colOff>106680</xdr:colOff>
      <xdr:row>34</xdr:row>
      <xdr:rowOff>30480</xdr:rowOff>
    </xdr:to>
    <xdr:sp macro="" textlink="">
      <xdr:nvSpPr>
        <xdr:cNvPr id="2" name="TextBox 1"/>
        <xdr:cNvSpPr txBox="1"/>
      </xdr:nvSpPr>
      <xdr:spPr>
        <a:xfrm>
          <a:off x="3002280" y="6164580"/>
          <a:ext cx="5623560" cy="320040"/>
        </a:xfrm>
        <a:prstGeom prst="rect">
          <a:avLst/>
        </a:prstGeom>
        <a:solidFill>
          <a:schemeClr val="lt1"/>
        </a:solidFill>
        <a:ln w="19050" cmpd="sng">
          <a:solidFill>
            <a:schemeClr val="tx1"/>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This section is used</a:t>
          </a:r>
          <a:r>
            <a:rPr lang="en-US" sz="1100" baseline="0"/>
            <a:t> only to plot drag polars</a:t>
          </a: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289560</xdr:colOff>
      <xdr:row>42</xdr:row>
      <xdr:rowOff>152400</xdr:rowOff>
    </xdr:from>
    <xdr:to>
      <xdr:col>5</xdr:col>
      <xdr:colOff>91440</xdr:colOff>
      <xdr:row>45</xdr:row>
      <xdr:rowOff>91440</xdr:rowOff>
    </xdr:to>
    <xdr:sp macro="" textlink="">
      <xdr:nvSpPr>
        <xdr:cNvPr id="2" name="TextBox 1"/>
        <xdr:cNvSpPr txBox="1"/>
      </xdr:nvSpPr>
      <xdr:spPr>
        <a:xfrm>
          <a:off x="1752600" y="7109460"/>
          <a:ext cx="2240280" cy="464820"/>
        </a:xfrm>
        <a:prstGeom prst="rect">
          <a:avLst/>
        </a:prstGeom>
        <a:solidFill>
          <a:schemeClr val="lt1"/>
        </a:solidFill>
        <a:ln w="19050" cmpd="sng">
          <a:solidFill>
            <a:schemeClr val="tx1"/>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This sets the increments in W/S</a:t>
          </a:r>
          <a:r>
            <a:rPr lang="en-US" sz="1100" baseline="0"/>
            <a:t> for this table (and hence the graph)</a:t>
          </a:r>
          <a:endParaRPr lang="en-US" sz="1100"/>
        </a:p>
      </xdr:txBody>
    </xdr:sp>
    <xdr:clientData/>
  </xdr:twoCellAnchor>
  <xdr:twoCellAnchor>
    <xdr:from>
      <xdr:col>6</xdr:col>
      <xdr:colOff>327660</xdr:colOff>
      <xdr:row>42</xdr:row>
      <xdr:rowOff>114300</xdr:rowOff>
    </xdr:from>
    <xdr:to>
      <xdr:col>10</xdr:col>
      <xdr:colOff>373380</xdr:colOff>
      <xdr:row>46</xdr:row>
      <xdr:rowOff>30480</xdr:rowOff>
    </xdr:to>
    <xdr:sp macro="" textlink="">
      <xdr:nvSpPr>
        <xdr:cNvPr id="3" name="TextBox 2"/>
        <xdr:cNvSpPr txBox="1"/>
      </xdr:nvSpPr>
      <xdr:spPr>
        <a:xfrm>
          <a:off x="4838700" y="7071360"/>
          <a:ext cx="2484120" cy="617220"/>
        </a:xfrm>
        <a:prstGeom prst="rect">
          <a:avLst/>
        </a:prstGeom>
        <a:solidFill>
          <a:schemeClr val="lt1"/>
        </a:solidFill>
        <a:ln w="19050" cmpd="sng">
          <a:solidFill>
            <a:schemeClr val="tx1"/>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a:t>
          </a:r>
          <a:r>
            <a:rPr lang="en-US" sz="1100" baseline="0"/>
            <a:t> input value of W/S (on the Baseline sheet) sets the midpoint of the horizontal axis for the graph</a:t>
          </a:r>
          <a:endParaRPr lang="en-US" sz="1100"/>
        </a:p>
      </xdr:txBody>
    </xdr:sp>
    <xdr:clientData/>
  </xdr:twoCellAnchor>
  <xdr:twoCellAnchor>
    <xdr:from>
      <xdr:col>0</xdr:col>
      <xdr:colOff>541020</xdr:colOff>
      <xdr:row>28</xdr:row>
      <xdr:rowOff>160020</xdr:rowOff>
    </xdr:from>
    <xdr:to>
      <xdr:col>3</xdr:col>
      <xdr:colOff>533400</xdr:colOff>
      <xdr:row>31</xdr:row>
      <xdr:rowOff>99060</xdr:rowOff>
    </xdr:to>
    <xdr:sp macro="" textlink="">
      <xdr:nvSpPr>
        <xdr:cNvPr id="5" name="TextBox 4"/>
        <xdr:cNvSpPr txBox="1"/>
      </xdr:nvSpPr>
      <xdr:spPr>
        <a:xfrm>
          <a:off x="541020" y="5158740"/>
          <a:ext cx="2674620" cy="464820"/>
        </a:xfrm>
        <a:prstGeom prst="rect">
          <a:avLst/>
        </a:prstGeom>
        <a:solidFill>
          <a:schemeClr val="lt1"/>
        </a:solidFill>
        <a:ln w="19050" cmpd="sng">
          <a:solidFill>
            <a:schemeClr val="tx1"/>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a:t>
          </a:r>
          <a:r>
            <a:rPr lang="en-US" sz="1100" baseline="0"/>
            <a:t> following table finds the most critical FAR Part 25 climb requirement</a:t>
          </a:r>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114300</xdr:colOff>
      <xdr:row>1</xdr:row>
      <xdr:rowOff>30480</xdr:rowOff>
    </xdr:from>
    <xdr:to>
      <xdr:col>5</xdr:col>
      <xdr:colOff>76200</xdr:colOff>
      <xdr:row>5</xdr:row>
      <xdr:rowOff>152400</xdr:rowOff>
    </xdr:to>
    <xdr:sp macro="" textlink="">
      <xdr:nvSpPr>
        <xdr:cNvPr id="2" name="TextBox 1"/>
        <xdr:cNvSpPr txBox="1"/>
      </xdr:nvSpPr>
      <xdr:spPr>
        <a:xfrm>
          <a:off x="114300" y="205740"/>
          <a:ext cx="4396740" cy="822960"/>
        </a:xfrm>
        <a:prstGeom prst="rect">
          <a:avLst/>
        </a:prstGeom>
        <a:solidFill>
          <a:schemeClr val="lt1"/>
        </a:solidFill>
        <a:ln w="19050" cmpd="sng">
          <a:solidFill>
            <a:schemeClr val="tx1"/>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Use the regression =n</a:t>
          </a:r>
          <a:r>
            <a:rPr lang="en-US" sz="1100" baseline="0"/>
            <a:t> below for the first cut at We vs. MTOGW.  However, if you know the aircraft geometry, set coefficients A and B in column C to zero, and let the component weight equations calculate We.  Coefficients in the empty weight =n are in the form A*W</a:t>
          </a:r>
          <a:r>
            <a:rPr lang="en-US" sz="1100" baseline="-25000"/>
            <a:t>o</a:t>
          </a:r>
          <a:r>
            <a:rPr lang="en-US" sz="1100" baseline="30000"/>
            <a:t>B</a:t>
          </a:r>
        </a:p>
      </xdr:txBody>
    </xdr:sp>
    <xdr:clientData/>
  </xdr:twoCellAnchor>
  <xdr:twoCellAnchor>
    <xdr:from>
      <xdr:col>0</xdr:col>
      <xdr:colOff>266700</xdr:colOff>
      <xdr:row>34</xdr:row>
      <xdr:rowOff>7620</xdr:rowOff>
    </xdr:from>
    <xdr:to>
      <xdr:col>3</xdr:col>
      <xdr:colOff>304800</xdr:colOff>
      <xdr:row>37</xdr:row>
      <xdr:rowOff>60960</xdr:rowOff>
    </xdr:to>
    <xdr:sp macro="" textlink="">
      <xdr:nvSpPr>
        <xdr:cNvPr id="3" name="TextBox 2"/>
        <xdr:cNvSpPr txBox="1"/>
      </xdr:nvSpPr>
      <xdr:spPr>
        <a:xfrm>
          <a:off x="266700" y="5966460"/>
          <a:ext cx="3101340" cy="579120"/>
        </a:xfrm>
        <a:prstGeom prst="rect">
          <a:avLst/>
        </a:prstGeom>
        <a:solidFill>
          <a:schemeClr val="lt1"/>
        </a:solidFill>
        <a:ln w="19050" cmpd="sng">
          <a:solidFill>
            <a:schemeClr val="tx1"/>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a:t>
          </a:r>
          <a:r>
            <a:rPr lang="en-US" sz="1100" baseline="0"/>
            <a:t> following values are used by the weight equations.</a:t>
          </a:r>
          <a:endParaRPr lang="en-US" sz="1100"/>
        </a:p>
      </xdr:txBody>
    </xdr:sp>
    <xdr:clientData/>
  </xdr:twoCellAnchor>
  <xdr:twoCellAnchor>
    <xdr:from>
      <xdr:col>0</xdr:col>
      <xdr:colOff>91440</xdr:colOff>
      <xdr:row>54</xdr:row>
      <xdr:rowOff>15240</xdr:rowOff>
    </xdr:from>
    <xdr:to>
      <xdr:col>3</xdr:col>
      <xdr:colOff>480060</xdr:colOff>
      <xdr:row>56</xdr:row>
      <xdr:rowOff>121920</xdr:rowOff>
    </xdr:to>
    <xdr:sp macro="" textlink="">
      <xdr:nvSpPr>
        <xdr:cNvPr id="4" name="TextBox 3"/>
        <xdr:cNvSpPr txBox="1"/>
      </xdr:nvSpPr>
      <xdr:spPr>
        <a:xfrm>
          <a:off x="91440" y="9494520"/>
          <a:ext cx="3451860" cy="457200"/>
        </a:xfrm>
        <a:prstGeom prst="rect">
          <a:avLst/>
        </a:prstGeom>
        <a:solidFill>
          <a:schemeClr val="lt1"/>
        </a:solidFill>
        <a:ln w="19050" cmpd="sng">
          <a:solidFill>
            <a:schemeClr val="tx1"/>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Note: Select either Toren</a:t>
          </a:r>
          <a:r>
            <a:rPr lang="en-US" sz="1100" baseline="0"/>
            <a:t>beek (for commercial aircraft) or GD (for military aircraft) method in cell WEITDIFF.</a:t>
          </a:r>
          <a:endParaRPr lang="en-US" sz="1100"/>
        </a:p>
      </xdr:txBody>
    </xdr:sp>
    <xdr:clientData/>
  </xdr:twoCellAnchor>
  <xdr:twoCellAnchor>
    <xdr:from>
      <xdr:col>0</xdr:col>
      <xdr:colOff>99060</xdr:colOff>
      <xdr:row>51</xdr:row>
      <xdr:rowOff>45720</xdr:rowOff>
    </xdr:from>
    <xdr:to>
      <xdr:col>3</xdr:col>
      <xdr:colOff>480060</xdr:colOff>
      <xdr:row>52</xdr:row>
      <xdr:rowOff>160020</xdr:rowOff>
    </xdr:to>
    <xdr:sp macro="" textlink="">
      <xdr:nvSpPr>
        <xdr:cNvPr id="5" name="TextBox 4"/>
        <xdr:cNvSpPr txBox="1"/>
      </xdr:nvSpPr>
      <xdr:spPr>
        <a:xfrm>
          <a:off x="99060" y="8999220"/>
          <a:ext cx="3444240" cy="289560"/>
        </a:xfrm>
        <a:prstGeom prst="rect">
          <a:avLst/>
        </a:prstGeom>
        <a:solidFill>
          <a:schemeClr val="lt1"/>
        </a:solidFill>
        <a:ln w="19050" cmpd="sng">
          <a:solidFill>
            <a:schemeClr val="tx1"/>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See Roskam</a:t>
          </a:r>
          <a:r>
            <a:rPr lang="en-US" sz="1100" baseline="0"/>
            <a:t> V p.69 for aircraft with TOGW &gt; 12,500 lb</a:t>
          </a:r>
          <a:endParaRPr lang="en-US" sz="1100"/>
        </a:p>
      </xdr:txBody>
    </xdr:sp>
    <xdr:clientData/>
  </xdr:twoCellAnchor>
</xdr:wsDr>
</file>

<file path=xl/drawings/drawing7.xml><?xml version="1.0" encoding="utf-8"?>
<xdr:wsDr xmlns:xdr="http://schemas.openxmlformats.org/drawingml/2006/spreadsheetDrawing" xmlns:a="http://schemas.openxmlformats.org/drawingml/2006/main">
  <xdr:absoluteAnchor>
    <xdr:pos x="0" y="0"/>
    <xdr:ext cx="8559553" cy="5800078"/>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absoluteAnchor>
    <xdr:pos x="0" y="0"/>
    <xdr:ext cx="8538308" cy="578338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absoluteAnchor>
    <xdr:pos x="0" y="0"/>
    <xdr:ext cx="8654716" cy="627246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dimension ref="A1:CP61"/>
  <sheetViews>
    <sheetView topLeftCell="A8" zoomScale="70" zoomScaleNormal="70" workbookViewId="0">
      <selection activeCell="N18" sqref="N18"/>
    </sheetView>
  </sheetViews>
  <sheetFormatPr defaultColWidth="9.6640625" defaultRowHeight="12" x14ac:dyDescent="0.2"/>
  <cols>
    <col min="1" max="1" width="27.6640625" customWidth="1"/>
  </cols>
  <sheetData>
    <row r="1" spans="1:15" ht="13.8" x14ac:dyDescent="0.3">
      <c r="A1" s="2" t="s">
        <v>0</v>
      </c>
      <c r="B1" s="3"/>
      <c r="C1" s="3"/>
      <c r="D1" s="2" t="s">
        <v>1</v>
      </c>
      <c r="E1" s="3"/>
      <c r="F1" s="54" t="s">
        <v>2</v>
      </c>
      <c r="G1" s="4"/>
      <c r="H1" s="4"/>
      <c r="I1" s="5"/>
      <c r="J1" s="4"/>
      <c r="K1" s="4"/>
      <c r="L1" s="4"/>
      <c r="M1" s="4"/>
      <c r="N1" s="4"/>
      <c r="O1" s="4"/>
    </row>
    <row r="2" spans="1:15" ht="13.8" x14ac:dyDescent="0.3">
      <c r="A2" s="2" t="s">
        <v>3</v>
      </c>
      <c r="B2" s="3"/>
      <c r="C2" s="3"/>
      <c r="D2" s="2" t="s">
        <v>4</v>
      </c>
      <c r="E2" s="3"/>
      <c r="F2" s="54">
        <f ca="1">NOW()</f>
        <v>41729.44830891204</v>
      </c>
      <c r="G2" s="4"/>
      <c r="H2" s="4"/>
      <c r="I2" s="5"/>
      <c r="J2" s="5"/>
      <c r="K2" s="4"/>
      <c r="L2" s="4"/>
      <c r="M2" s="4"/>
      <c r="N2" s="4"/>
      <c r="O2" s="4"/>
    </row>
    <row r="3" spans="1:15" ht="13.8" x14ac:dyDescent="0.3">
      <c r="A3" s="5"/>
      <c r="B3" s="4"/>
      <c r="C3" s="4"/>
      <c r="D3" s="4"/>
      <c r="E3" s="4"/>
      <c r="F3" s="4"/>
      <c r="G3" s="4"/>
      <c r="H3" s="4"/>
      <c r="I3" s="4"/>
      <c r="J3" s="5"/>
      <c r="K3" s="4"/>
      <c r="L3" s="4"/>
      <c r="M3" s="4"/>
      <c r="N3" s="4"/>
    </row>
    <row r="4" spans="1:15" ht="13.8" x14ac:dyDescent="0.3">
      <c r="A4" s="5"/>
      <c r="B4" s="4"/>
      <c r="C4" s="4"/>
      <c r="D4" s="4"/>
      <c r="E4" s="4"/>
      <c r="F4" s="4"/>
      <c r="G4" s="4"/>
      <c r="H4" s="4"/>
      <c r="I4" s="4"/>
      <c r="J4" s="4"/>
      <c r="K4" s="4"/>
      <c r="L4" s="4"/>
      <c r="M4" s="4"/>
      <c r="N4" s="4"/>
    </row>
    <row r="5" spans="1:15" ht="13.8" x14ac:dyDescent="0.3">
      <c r="A5" s="4"/>
      <c r="B5" s="4"/>
      <c r="C5" s="4"/>
      <c r="D5" s="4"/>
      <c r="E5" s="4"/>
      <c r="F5" s="4"/>
      <c r="G5" s="4"/>
      <c r="H5" s="4"/>
      <c r="I5" s="4"/>
      <c r="J5" s="4"/>
      <c r="K5" s="4"/>
      <c r="L5" s="4"/>
      <c r="M5" s="4"/>
      <c r="N5" s="4"/>
    </row>
    <row r="6" spans="1:15" ht="13.8" x14ac:dyDescent="0.3">
      <c r="A6" s="5"/>
      <c r="B6" s="4"/>
      <c r="C6" s="4"/>
      <c r="D6" s="4"/>
      <c r="E6" s="4"/>
      <c r="F6" s="4"/>
      <c r="G6" s="4"/>
      <c r="H6" s="4"/>
      <c r="I6" s="4"/>
      <c r="J6" s="4"/>
      <c r="K6" s="4"/>
      <c r="L6" s="4"/>
      <c r="M6" s="4"/>
      <c r="N6" s="4"/>
    </row>
    <row r="7" spans="1:15" ht="14.4" thickBot="1" x14ac:dyDescent="0.35">
      <c r="A7" s="4"/>
      <c r="B7" s="4"/>
      <c r="C7" s="4"/>
      <c r="D7" s="4"/>
      <c r="E7" s="4"/>
      <c r="F7" s="4"/>
      <c r="G7" s="4"/>
      <c r="H7" s="4"/>
      <c r="I7" s="4"/>
      <c r="J7" s="4"/>
      <c r="K7" s="4"/>
      <c r="L7" s="4"/>
      <c r="M7" s="4"/>
      <c r="N7" s="4"/>
    </row>
    <row r="8" spans="1:15" ht="13.8" x14ac:dyDescent="0.3">
      <c r="A8" s="91" t="s">
        <v>748</v>
      </c>
      <c r="B8" s="163"/>
      <c r="C8" s="164"/>
      <c r="D8" s="164"/>
      <c r="E8" s="165"/>
      <c r="F8" s="4"/>
      <c r="G8" s="4"/>
      <c r="H8" s="4"/>
      <c r="I8" s="4"/>
      <c r="J8" s="4"/>
      <c r="K8" s="4"/>
      <c r="L8" s="4"/>
      <c r="M8" s="4"/>
      <c r="N8" s="4"/>
    </row>
    <row r="9" spans="1:15" ht="13.8" x14ac:dyDescent="0.3">
      <c r="A9" s="58" t="s">
        <v>688</v>
      </c>
      <c r="B9" s="47" t="s">
        <v>6</v>
      </c>
      <c r="C9" s="48"/>
      <c r="D9" s="48"/>
      <c r="E9" s="142"/>
      <c r="F9" s="4"/>
      <c r="G9" s="4"/>
      <c r="H9" s="4"/>
      <c r="I9" s="4"/>
      <c r="J9" s="4"/>
      <c r="K9" s="4"/>
      <c r="L9" s="4"/>
      <c r="M9" s="4"/>
      <c r="N9" s="4"/>
    </row>
    <row r="10" spans="1:15" ht="13.8" x14ac:dyDescent="0.3">
      <c r="A10" s="58" t="s">
        <v>608</v>
      </c>
      <c r="B10" s="47" t="s">
        <v>5</v>
      </c>
      <c r="C10" s="48"/>
      <c r="D10" s="48"/>
      <c r="E10" s="142"/>
      <c r="F10" s="4"/>
      <c r="G10" s="4"/>
      <c r="H10" s="4"/>
      <c r="I10" s="4"/>
      <c r="J10" s="4"/>
      <c r="K10" s="4"/>
      <c r="L10" s="4"/>
      <c r="M10" s="4"/>
      <c r="N10" s="4"/>
    </row>
    <row r="11" spans="1:15" ht="13.8" x14ac:dyDescent="0.3">
      <c r="A11" s="143"/>
      <c r="B11" s="166"/>
      <c r="C11" s="167"/>
      <c r="D11" s="167"/>
      <c r="E11" s="168"/>
      <c r="F11" s="4"/>
      <c r="G11" s="4"/>
      <c r="H11" s="4"/>
      <c r="I11" s="4"/>
      <c r="J11" s="4"/>
      <c r="K11" s="4"/>
      <c r="L11" s="4"/>
      <c r="M11" s="4"/>
      <c r="N11" s="4"/>
    </row>
    <row r="12" spans="1:15" ht="13.8" x14ac:dyDescent="0.3">
      <c r="A12" s="58" t="s">
        <v>687</v>
      </c>
      <c r="B12" s="169" t="s">
        <v>11</v>
      </c>
      <c r="C12" s="170"/>
      <c r="D12" s="170"/>
      <c r="E12" s="171"/>
      <c r="F12" s="4"/>
      <c r="G12" s="4"/>
      <c r="H12" s="4"/>
      <c r="I12" s="4"/>
      <c r="J12" s="4"/>
      <c r="K12" s="4"/>
      <c r="L12" s="4"/>
      <c r="M12" s="4"/>
      <c r="N12" s="4"/>
    </row>
    <row r="13" spans="1:15" ht="13.8" x14ac:dyDescent="0.3">
      <c r="A13" s="58" t="s">
        <v>689</v>
      </c>
      <c r="B13" s="47" t="s">
        <v>7</v>
      </c>
      <c r="C13" s="48"/>
      <c r="D13" s="48"/>
      <c r="E13" s="142"/>
      <c r="F13" s="4"/>
      <c r="G13" s="4"/>
      <c r="H13" s="4"/>
      <c r="I13" s="4"/>
      <c r="J13" s="4"/>
      <c r="K13" s="4"/>
      <c r="L13" s="4"/>
      <c r="M13" s="4"/>
      <c r="N13" s="4"/>
    </row>
    <row r="14" spans="1:15" ht="13.8" x14ac:dyDescent="0.3">
      <c r="A14" s="58" t="s">
        <v>690</v>
      </c>
      <c r="B14" s="169" t="s">
        <v>8</v>
      </c>
      <c r="C14" s="170"/>
      <c r="D14" s="170"/>
      <c r="E14" s="171"/>
      <c r="F14" s="4"/>
      <c r="G14" s="4"/>
      <c r="H14" s="4"/>
      <c r="I14" s="4"/>
      <c r="J14" s="4"/>
      <c r="K14" s="4"/>
      <c r="L14" s="4"/>
      <c r="M14" s="4"/>
      <c r="N14" s="4"/>
    </row>
    <row r="15" spans="1:15" ht="13.8" x14ac:dyDescent="0.3">
      <c r="A15" s="58" t="s">
        <v>692</v>
      </c>
      <c r="B15" s="169" t="s">
        <v>9</v>
      </c>
      <c r="C15" s="170"/>
      <c r="D15" s="170"/>
      <c r="E15" s="171"/>
      <c r="F15" s="4"/>
      <c r="G15" s="4"/>
      <c r="H15" s="4"/>
      <c r="I15" s="4"/>
      <c r="J15" s="4"/>
      <c r="K15" s="4"/>
      <c r="L15" s="4"/>
      <c r="M15" s="4"/>
      <c r="N15" s="4"/>
    </row>
    <row r="16" spans="1:15" ht="14.4" thickBot="1" x14ac:dyDescent="0.35">
      <c r="A16" s="61" t="s">
        <v>691</v>
      </c>
      <c r="B16" s="160" t="s">
        <v>10</v>
      </c>
      <c r="C16" s="161"/>
      <c r="D16" s="161"/>
      <c r="E16" s="162"/>
      <c r="F16" s="4"/>
      <c r="G16" s="4"/>
      <c r="H16" s="4"/>
      <c r="I16" s="4"/>
      <c r="J16" s="4"/>
      <c r="K16" s="4"/>
      <c r="L16" s="4"/>
      <c r="M16" s="4"/>
      <c r="N16" s="4"/>
    </row>
    <row r="17" spans="1:94" ht="13.8" x14ac:dyDescent="0.3">
      <c r="A17" s="5"/>
      <c r="B17" s="5"/>
      <c r="C17" s="4"/>
      <c r="D17" s="4"/>
      <c r="E17" s="4"/>
      <c r="F17" s="4"/>
      <c r="G17" s="4"/>
      <c r="H17" s="4"/>
      <c r="I17" s="4"/>
      <c r="J17" s="4"/>
      <c r="K17" s="4"/>
      <c r="L17" s="4"/>
      <c r="M17" s="4"/>
      <c r="N17" s="4"/>
    </row>
    <row r="18" spans="1:94" ht="13.8" x14ac:dyDescent="0.3">
      <c r="A18" s="4"/>
      <c r="B18" s="4"/>
      <c r="C18" s="4"/>
      <c r="D18" s="4"/>
      <c r="E18" s="4"/>
      <c r="F18" s="4"/>
      <c r="G18" s="4"/>
      <c r="H18" s="4"/>
      <c r="I18" s="4"/>
      <c r="J18" s="4"/>
      <c r="K18" s="4"/>
      <c r="L18" s="4"/>
      <c r="M18" s="4"/>
      <c r="N18" s="4"/>
    </row>
    <row r="19" spans="1:94" ht="13.8" x14ac:dyDescent="0.3">
      <c r="A19" s="4"/>
      <c r="B19" s="4"/>
      <c r="C19" s="4"/>
      <c r="D19" s="4"/>
      <c r="E19" s="4"/>
      <c r="F19" s="4"/>
      <c r="G19" s="4"/>
      <c r="H19" s="4"/>
      <c r="I19" s="4"/>
      <c r="J19" s="4"/>
      <c r="K19" s="4"/>
      <c r="L19" s="4"/>
      <c r="M19" s="4"/>
      <c r="N19" s="4"/>
    </row>
    <row r="23" spans="1:94" ht="13.8" x14ac:dyDescent="0.3">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row>
    <row r="24" spans="1:94" ht="13.8" x14ac:dyDescent="0.3">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row>
    <row r="25" spans="1:94" ht="13.8" x14ac:dyDescent="0.3">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row>
    <row r="26" spans="1:94" ht="13.8" x14ac:dyDescent="0.3">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row>
    <row r="27" spans="1:94" ht="13.8" x14ac:dyDescent="0.3">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row>
    <row r="28" spans="1:94" ht="13.8" x14ac:dyDescent="0.3">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row>
    <row r="29" spans="1:94" ht="13.8" x14ac:dyDescent="0.3">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row>
    <row r="30" spans="1:94" ht="13.8" x14ac:dyDescent="0.3">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row>
    <row r="31" spans="1:94" ht="13.8" x14ac:dyDescent="0.3">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row>
    <row r="32" spans="1:94" ht="13.8" x14ac:dyDescent="0.3">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row>
    <row r="33" spans="1:94" ht="13.8" x14ac:dyDescent="0.3">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row>
    <row r="34" spans="1:94" ht="13.8" x14ac:dyDescent="0.3">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row>
    <row r="35" spans="1:94" ht="13.8" x14ac:dyDescent="0.3">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row>
    <row r="36" spans="1:94" ht="13.8" x14ac:dyDescent="0.3">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row>
    <row r="37" spans="1:94" ht="13.8" x14ac:dyDescent="0.3">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row>
    <row r="38" spans="1:94" ht="13.8" x14ac:dyDescent="0.3">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row>
    <row r="39" spans="1:94" ht="13.8" x14ac:dyDescent="0.3">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row>
    <row r="40" spans="1:94" ht="13.8" x14ac:dyDescent="0.3">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row>
    <row r="41" spans="1:94" ht="13.8" x14ac:dyDescent="0.3">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row>
    <row r="42" spans="1:94" ht="13.8" x14ac:dyDescent="0.3">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row>
    <row r="43" spans="1:94" ht="13.8" x14ac:dyDescent="0.3">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row>
    <row r="44" spans="1:94" ht="13.8" x14ac:dyDescent="0.3">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row>
    <row r="45" spans="1:94" ht="13.8" x14ac:dyDescent="0.3">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row>
    <row r="46" spans="1:94" ht="13.8" x14ac:dyDescent="0.3">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row>
    <row r="47" spans="1:94" ht="13.8" x14ac:dyDescent="0.3">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row>
    <row r="48" spans="1:94" ht="13.8" x14ac:dyDescent="0.3">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row>
    <row r="60" spans="1:94" ht="13.8" x14ac:dyDescent="0.3">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5" t="s">
        <v>683</v>
      </c>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row>
    <row r="61" spans="1:94" ht="13.8" x14ac:dyDescent="0.3">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row>
  </sheetData>
  <mergeCells count="6">
    <mergeCell ref="B16:E16"/>
    <mergeCell ref="B8:E8"/>
    <mergeCell ref="B11:E11"/>
    <mergeCell ref="B12:E12"/>
    <mergeCell ref="B14:E14"/>
    <mergeCell ref="B15:E15"/>
  </mergeCells>
  <phoneticPr fontId="1" type="noConversion"/>
  <pageMargins left="0.75" right="0.75" top="1" bottom="1" header="0.5" footer="0.5"/>
  <pageSetup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86"/>
  <sheetViews>
    <sheetView topLeftCell="A73" zoomScale="93" zoomScaleNormal="93" workbookViewId="0">
      <selection activeCell="G81" sqref="G81"/>
    </sheetView>
  </sheetViews>
  <sheetFormatPr defaultRowHeight="12" x14ac:dyDescent="0.2"/>
  <cols>
    <col min="1" max="1" width="28.21875" customWidth="1"/>
    <col min="8" max="8" width="10.21875" customWidth="1"/>
  </cols>
  <sheetData>
    <row r="1" spans="1:15" ht="13.8" x14ac:dyDescent="0.3">
      <c r="A1" s="2" t="s">
        <v>706</v>
      </c>
      <c r="B1" s="4"/>
      <c r="C1" s="4"/>
      <c r="D1" s="4"/>
      <c r="E1" s="4"/>
      <c r="F1" s="4"/>
      <c r="G1" s="4"/>
      <c r="H1" s="4"/>
      <c r="I1" s="4"/>
      <c r="J1" s="4"/>
      <c r="K1" s="4"/>
      <c r="L1" s="4"/>
      <c r="M1" s="4"/>
      <c r="N1" s="4"/>
      <c r="O1" s="4"/>
    </row>
    <row r="2" spans="1:15" ht="13.8" x14ac:dyDescent="0.3">
      <c r="A2" s="5" t="s">
        <v>237</v>
      </c>
      <c r="B2" s="4"/>
      <c r="C2" s="4"/>
      <c r="D2" s="4"/>
      <c r="E2" s="4"/>
      <c r="F2" s="4"/>
      <c r="G2" s="4"/>
      <c r="H2" s="4"/>
      <c r="I2" s="4"/>
      <c r="J2" s="4"/>
      <c r="K2" s="4"/>
      <c r="L2" s="4"/>
      <c r="M2" s="4"/>
      <c r="N2" s="4"/>
      <c r="O2" s="4"/>
    </row>
    <row r="3" spans="1:15" ht="13.8" x14ac:dyDescent="0.3">
      <c r="A3" s="5"/>
      <c r="B3" s="4"/>
      <c r="C3" s="4"/>
      <c r="D3" s="4"/>
      <c r="E3" s="4"/>
      <c r="F3" s="4"/>
      <c r="G3" s="4"/>
      <c r="H3" s="4"/>
      <c r="I3" s="4"/>
      <c r="J3" s="4"/>
      <c r="K3" s="4"/>
      <c r="L3" s="4"/>
      <c r="M3" s="4"/>
      <c r="N3" s="4"/>
      <c r="O3" s="4"/>
    </row>
    <row r="4" spans="1:15" ht="13.8" x14ac:dyDescent="0.3">
      <c r="A4" s="5"/>
      <c r="B4" s="4"/>
      <c r="C4" s="4"/>
      <c r="D4" s="4"/>
      <c r="E4" s="4"/>
      <c r="F4" s="4"/>
      <c r="G4" s="4"/>
      <c r="H4" s="4"/>
      <c r="I4" s="4"/>
      <c r="J4" s="4"/>
      <c r="K4" s="4"/>
      <c r="L4" s="4"/>
      <c r="M4" s="4"/>
      <c r="N4" s="4"/>
      <c r="O4" s="4"/>
    </row>
    <row r="5" spans="1:15" ht="13.8" x14ac:dyDescent="0.3">
      <c r="A5" s="5"/>
      <c r="B5" s="4"/>
      <c r="C5" s="4"/>
      <c r="D5" s="4"/>
      <c r="E5" s="4"/>
      <c r="F5" s="4"/>
      <c r="G5" s="4"/>
      <c r="H5" s="4"/>
      <c r="I5" s="4"/>
      <c r="J5" s="4"/>
      <c r="K5" s="4"/>
      <c r="L5" s="4"/>
      <c r="M5" s="4"/>
      <c r="N5" s="4"/>
      <c r="O5" s="4"/>
    </row>
    <row r="6" spans="1:15" ht="13.8" x14ac:dyDescent="0.3">
      <c r="A6" s="5"/>
      <c r="B6" s="4"/>
      <c r="C6" s="4"/>
      <c r="D6" s="4"/>
      <c r="E6" s="4"/>
      <c r="F6" s="4"/>
      <c r="G6" s="4"/>
      <c r="H6" s="4"/>
      <c r="I6" s="4"/>
      <c r="J6" s="4"/>
      <c r="K6" s="4"/>
      <c r="L6" s="4"/>
      <c r="M6" s="4"/>
      <c r="N6" s="4"/>
      <c r="O6" s="4"/>
    </row>
    <row r="7" spans="1:15" ht="13.8" x14ac:dyDescent="0.3">
      <c r="A7" s="5"/>
      <c r="B7" s="4"/>
      <c r="C7" s="4"/>
      <c r="D7" s="4"/>
      <c r="E7" s="4"/>
      <c r="F7" s="4"/>
      <c r="G7" s="4"/>
      <c r="H7" s="4"/>
      <c r="I7" s="4"/>
      <c r="J7" s="4"/>
      <c r="K7" s="4"/>
      <c r="L7" s="4"/>
      <c r="M7" s="4"/>
      <c r="N7" s="4"/>
      <c r="O7" s="4"/>
    </row>
    <row r="8" spans="1:15" ht="13.8" x14ac:dyDescent="0.3">
      <c r="A8" s="5"/>
      <c r="B8" s="4"/>
      <c r="C8" s="4"/>
      <c r="D8" s="4"/>
      <c r="E8" s="4"/>
      <c r="F8" s="4"/>
      <c r="G8" s="4"/>
      <c r="H8" s="4"/>
      <c r="I8" s="4"/>
      <c r="J8" s="4"/>
      <c r="K8" s="4"/>
      <c r="L8" s="4"/>
      <c r="M8" s="4"/>
      <c r="N8" s="4"/>
      <c r="O8" s="4"/>
    </row>
    <row r="9" spans="1:15" ht="13.8" x14ac:dyDescent="0.3">
      <c r="A9" s="4"/>
      <c r="B9" s="4"/>
      <c r="C9" s="4"/>
      <c r="D9" s="4"/>
      <c r="E9" s="4"/>
      <c r="F9" s="4"/>
      <c r="G9" s="4"/>
      <c r="H9" s="4"/>
      <c r="I9" s="4"/>
      <c r="J9" s="4"/>
      <c r="K9" s="4"/>
      <c r="L9" s="4"/>
      <c r="M9" s="4"/>
      <c r="N9" s="4"/>
      <c r="O9" s="4"/>
    </row>
    <row r="10" spans="1:15" ht="13.8" x14ac:dyDescent="0.3">
      <c r="A10" s="4"/>
      <c r="B10" s="4"/>
      <c r="C10" s="4"/>
      <c r="D10" s="4"/>
      <c r="E10" s="4"/>
      <c r="F10" s="4"/>
      <c r="G10" s="4"/>
      <c r="H10" s="4"/>
      <c r="I10" s="4"/>
      <c r="J10" s="4"/>
      <c r="K10" s="4"/>
      <c r="L10" s="4"/>
      <c r="M10" s="4"/>
      <c r="N10" s="4"/>
      <c r="O10" s="4"/>
    </row>
    <row r="11" spans="1:15" ht="13.8" x14ac:dyDescent="0.3">
      <c r="A11" s="2" t="s">
        <v>203</v>
      </c>
      <c r="B11" s="4"/>
      <c r="C11" s="4"/>
      <c r="D11" s="4"/>
      <c r="E11" s="2" t="s">
        <v>204</v>
      </c>
      <c r="F11" s="3"/>
      <c r="G11" s="4"/>
      <c r="H11" s="4"/>
      <c r="I11" s="4"/>
      <c r="J11" s="4"/>
      <c r="K11" s="4"/>
      <c r="L11" s="4"/>
      <c r="M11" s="4"/>
      <c r="N11" s="4"/>
      <c r="O11" s="4"/>
    </row>
    <row r="12" spans="1:15" ht="14.4" thickBot="1" x14ac:dyDescent="0.35">
      <c r="A12" s="4"/>
      <c r="B12" s="4"/>
      <c r="C12" s="4"/>
      <c r="D12" s="4"/>
      <c r="E12" s="4"/>
      <c r="F12" s="4"/>
      <c r="G12" s="4"/>
      <c r="H12" s="4"/>
      <c r="I12" s="4"/>
      <c r="J12" s="4"/>
      <c r="K12" s="4"/>
      <c r="L12" s="4"/>
      <c r="M12" s="4"/>
      <c r="N12" s="4"/>
      <c r="O12" s="4"/>
    </row>
    <row r="13" spans="1:15" ht="13.8" x14ac:dyDescent="0.3">
      <c r="A13" s="91" t="s">
        <v>238</v>
      </c>
      <c r="B13" s="92"/>
      <c r="C13" s="93"/>
      <c r="D13" s="4"/>
      <c r="E13" s="4"/>
      <c r="F13" s="4"/>
      <c r="G13" s="4"/>
      <c r="H13" s="4"/>
      <c r="I13" s="4"/>
      <c r="J13" s="4"/>
      <c r="K13" s="4"/>
      <c r="L13" s="4"/>
      <c r="M13" s="4"/>
      <c r="N13" s="4"/>
      <c r="O13" s="4"/>
    </row>
    <row r="14" spans="1:15" ht="13.8" x14ac:dyDescent="0.3">
      <c r="A14" s="58" t="s">
        <v>239</v>
      </c>
      <c r="B14" s="8" t="s">
        <v>240</v>
      </c>
      <c r="C14" s="59">
        <v>1</v>
      </c>
      <c r="D14" s="4"/>
      <c r="E14" s="4"/>
      <c r="F14" s="4"/>
      <c r="G14" s="4"/>
      <c r="H14" s="4"/>
      <c r="I14" s="4"/>
      <c r="J14" s="4"/>
      <c r="K14" s="4"/>
      <c r="L14" s="4"/>
      <c r="M14" s="4"/>
      <c r="N14" s="4"/>
      <c r="O14" s="4"/>
    </row>
    <row r="15" spans="1:15" ht="13.8" x14ac:dyDescent="0.3">
      <c r="A15" s="58" t="s">
        <v>241</v>
      </c>
      <c r="B15" s="8" t="s">
        <v>242</v>
      </c>
      <c r="C15" s="59">
        <v>0.7</v>
      </c>
      <c r="D15" s="4"/>
      <c r="E15" s="4"/>
      <c r="F15" s="4"/>
      <c r="G15" s="4"/>
      <c r="H15" s="4"/>
      <c r="I15" s="4"/>
      <c r="J15" s="4"/>
      <c r="K15" s="4"/>
      <c r="L15" s="4"/>
      <c r="M15" s="4"/>
      <c r="N15" s="4"/>
      <c r="O15" s="4"/>
    </row>
    <row r="16" spans="1:15" ht="13.8" x14ac:dyDescent="0.3">
      <c r="A16" s="94" t="s">
        <v>243</v>
      </c>
      <c r="B16" s="10"/>
      <c r="C16" s="86"/>
      <c r="D16" s="4"/>
      <c r="E16" s="173" t="s">
        <v>244</v>
      </c>
      <c r="F16" s="174"/>
      <c r="G16" s="175"/>
      <c r="H16" s="8" t="s">
        <v>245</v>
      </c>
      <c r="I16" s="11">
        <f>$C$18*Atmosphere!E18</f>
        <v>223.29115571181364</v>
      </c>
      <c r="J16" s="4"/>
      <c r="K16" s="4"/>
      <c r="L16" s="4"/>
      <c r="M16" s="4"/>
      <c r="N16" s="4"/>
      <c r="O16" s="4"/>
    </row>
    <row r="17" spans="1:15" ht="13.8" x14ac:dyDescent="0.3">
      <c r="A17" s="58" t="s">
        <v>246</v>
      </c>
      <c r="B17" s="8" t="s">
        <v>247</v>
      </c>
      <c r="C17" s="59">
        <v>1</v>
      </c>
      <c r="D17" s="4"/>
      <c r="E17" s="173" t="s">
        <v>248</v>
      </c>
      <c r="F17" s="174"/>
      <c r="G17" s="175"/>
      <c r="H17" s="8" t="s">
        <v>249</v>
      </c>
      <c r="I17" s="11">
        <f>$C$20*Atmosphere!E20</f>
        <v>798.38211513087822</v>
      </c>
      <c r="J17" s="4"/>
      <c r="K17" s="4"/>
      <c r="L17" s="4"/>
      <c r="M17" s="4"/>
      <c r="N17" s="4"/>
      <c r="O17" s="4"/>
    </row>
    <row r="18" spans="1:15" ht="13.8" x14ac:dyDescent="0.3">
      <c r="A18" s="58" t="s">
        <v>250</v>
      </c>
      <c r="B18" s="8" t="s">
        <v>251</v>
      </c>
      <c r="C18" s="59">
        <v>0.2</v>
      </c>
      <c r="D18" s="4"/>
      <c r="E18" s="8" t="s">
        <v>252</v>
      </c>
      <c r="F18" s="46"/>
      <c r="G18" s="46"/>
      <c r="H18" s="8" t="s">
        <v>253</v>
      </c>
      <c r="I18" s="11">
        <f>(Atmosphere!G18*I16^2+Atmosphere!G20*I17^2)/4</f>
        <v>231.54779959432881</v>
      </c>
      <c r="J18" s="4"/>
      <c r="K18" s="4"/>
      <c r="L18" s="4"/>
      <c r="M18" s="4"/>
      <c r="N18" s="4"/>
      <c r="O18" s="4"/>
    </row>
    <row r="19" spans="1:15" ht="13.8" x14ac:dyDescent="0.3">
      <c r="A19" s="58" t="s">
        <v>254</v>
      </c>
      <c r="B19" s="8" t="s">
        <v>255</v>
      </c>
      <c r="C19" s="59">
        <v>0</v>
      </c>
      <c r="D19" s="4"/>
      <c r="E19" s="173" t="s">
        <v>256</v>
      </c>
      <c r="F19" s="174"/>
      <c r="G19" s="175"/>
      <c r="H19" s="8" t="s">
        <v>257</v>
      </c>
      <c r="I19" s="11">
        <f>(C19+C21)/2</f>
        <v>10000</v>
      </c>
      <c r="J19" s="4"/>
      <c r="K19" s="4"/>
      <c r="L19" s="4"/>
      <c r="M19" s="4"/>
      <c r="N19" s="4"/>
      <c r="O19" s="4"/>
    </row>
    <row r="20" spans="1:15" ht="13.8" x14ac:dyDescent="0.3">
      <c r="A20" s="58" t="s">
        <v>258</v>
      </c>
      <c r="B20" s="8" t="s">
        <v>259</v>
      </c>
      <c r="C20" s="59">
        <v>0.77</v>
      </c>
      <c r="D20" s="4"/>
      <c r="E20" s="173" t="s">
        <v>260</v>
      </c>
      <c r="F20" s="174"/>
      <c r="G20" s="175"/>
      <c r="H20" s="8" t="s">
        <v>261</v>
      </c>
      <c r="I20" s="11">
        <f>Baseline!C8/(I18*Aerodynamics!C9+Aerodynamics!I9*Baseline!C8^2/I18)</f>
        <v>77.592412390445332</v>
      </c>
      <c r="J20" s="4"/>
      <c r="K20" s="4"/>
      <c r="L20" s="4"/>
      <c r="M20" s="4"/>
      <c r="N20" s="4"/>
      <c r="O20" s="4"/>
    </row>
    <row r="21" spans="1:15" ht="13.8" x14ac:dyDescent="0.3">
      <c r="A21" s="58" t="s">
        <v>262</v>
      </c>
      <c r="B21" s="8" t="s">
        <v>263</v>
      </c>
      <c r="C21" s="59">
        <v>20000</v>
      </c>
      <c r="D21" s="4"/>
      <c r="E21" s="173" t="s">
        <v>264</v>
      </c>
      <c r="F21" s="174"/>
      <c r="G21" s="175"/>
      <c r="H21" s="8" t="s">
        <v>265</v>
      </c>
      <c r="I21" s="11">
        <f>Baseline!C7*Propulsion!C7*(1-I19/100000*Propulsion!C10)</f>
        <v>0.36000000000000004</v>
      </c>
      <c r="J21" s="4"/>
      <c r="K21" s="4"/>
      <c r="L21" s="4"/>
      <c r="M21" s="4"/>
      <c r="N21" s="4"/>
      <c r="O21" s="4"/>
    </row>
    <row r="22" spans="1:15" ht="13.8" x14ac:dyDescent="0.3">
      <c r="A22" s="94" t="s">
        <v>266</v>
      </c>
      <c r="B22" s="10"/>
      <c r="C22" s="86"/>
      <c r="D22" s="4"/>
      <c r="E22" s="173" t="s">
        <v>267</v>
      </c>
      <c r="F22" s="174"/>
      <c r="G22" s="175"/>
      <c r="H22" s="8" t="s">
        <v>268</v>
      </c>
      <c r="I22" s="11">
        <f>C21-C19+(I17^2-I16^2)/(2*Atmosphere!E4)</f>
        <v>29130.898575584906</v>
      </c>
      <c r="J22" s="4"/>
      <c r="K22" s="4"/>
      <c r="L22" s="4"/>
      <c r="M22" s="4"/>
      <c r="N22" s="4"/>
      <c r="O22" s="4"/>
    </row>
    <row r="23" spans="1:15" ht="13.8" x14ac:dyDescent="0.3">
      <c r="A23" s="58" t="s">
        <v>269</v>
      </c>
      <c r="B23" s="8" t="s">
        <v>270</v>
      </c>
      <c r="C23" s="59">
        <v>1</v>
      </c>
      <c r="D23" s="4"/>
      <c r="E23" s="25"/>
      <c r="F23" s="25"/>
      <c r="G23" s="25"/>
      <c r="H23" s="25"/>
      <c r="I23" s="25"/>
      <c r="J23" s="4"/>
      <c r="K23" s="4"/>
      <c r="L23" s="4"/>
      <c r="M23" s="4"/>
      <c r="N23" s="4"/>
      <c r="O23" s="4"/>
    </row>
    <row r="24" spans="1:15" ht="13.8" x14ac:dyDescent="0.3">
      <c r="A24" s="58" t="s">
        <v>271</v>
      </c>
      <c r="B24" s="8" t="s">
        <v>272</v>
      </c>
      <c r="C24" s="59">
        <v>4000</v>
      </c>
      <c r="D24" s="4"/>
      <c r="E24" s="25"/>
      <c r="F24" s="25"/>
      <c r="G24" s="25"/>
      <c r="H24" s="25"/>
      <c r="I24" s="25"/>
      <c r="J24" s="4"/>
      <c r="K24" s="4"/>
      <c r="L24" s="4"/>
      <c r="M24" s="4"/>
      <c r="N24" s="4"/>
      <c r="O24" s="4"/>
    </row>
    <row r="25" spans="1:15" ht="13.8" x14ac:dyDescent="0.3">
      <c r="A25" s="94" t="s">
        <v>273</v>
      </c>
      <c r="B25" s="10"/>
      <c r="C25" s="60"/>
      <c r="D25" s="4"/>
      <c r="E25" s="25"/>
      <c r="F25" s="25"/>
      <c r="G25" s="25"/>
      <c r="H25" s="25"/>
      <c r="I25" s="25"/>
      <c r="J25" s="4"/>
      <c r="K25" s="4"/>
      <c r="L25" s="4"/>
      <c r="M25" s="4"/>
      <c r="N25" s="4"/>
      <c r="O25" s="4"/>
    </row>
    <row r="26" spans="1:15" ht="13.8" x14ac:dyDescent="0.3">
      <c r="A26" s="58" t="s">
        <v>274</v>
      </c>
      <c r="B26" s="8" t="s">
        <v>275</v>
      </c>
      <c r="C26" s="59">
        <v>1</v>
      </c>
      <c r="D26" s="4"/>
      <c r="E26" s="25"/>
      <c r="F26" s="25"/>
      <c r="G26" s="25"/>
      <c r="H26" s="25"/>
      <c r="I26" s="25"/>
      <c r="J26" s="4"/>
      <c r="K26" s="4"/>
      <c r="L26" s="4"/>
      <c r="M26" s="4"/>
      <c r="N26" s="4"/>
      <c r="O26" s="4"/>
    </row>
    <row r="27" spans="1:15" ht="13.8" x14ac:dyDescent="0.3">
      <c r="A27" s="58" t="s">
        <v>276</v>
      </c>
      <c r="B27" s="8" t="s">
        <v>277</v>
      </c>
      <c r="C27" s="59">
        <v>30000</v>
      </c>
      <c r="D27" s="4"/>
      <c r="E27" s="47" t="s">
        <v>278</v>
      </c>
      <c r="F27" s="48"/>
      <c r="G27" s="48"/>
      <c r="H27" s="8" t="s">
        <v>279</v>
      </c>
      <c r="I27" s="11">
        <f>Atmosphere!E23*$C$32</f>
        <v>1479.0345226978384</v>
      </c>
      <c r="J27" s="4"/>
      <c r="K27" s="4"/>
      <c r="L27" s="4"/>
      <c r="M27" s="4"/>
      <c r="N27" s="4"/>
      <c r="O27" s="4"/>
    </row>
    <row r="28" spans="1:15" ht="13.8" x14ac:dyDescent="0.3">
      <c r="A28" s="58" t="s">
        <v>280</v>
      </c>
      <c r="B28" s="8" t="s">
        <v>281</v>
      </c>
      <c r="C28" s="59">
        <v>0.3</v>
      </c>
      <c r="D28" s="4"/>
      <c r="E28" s="169" t="s">
        <v>282</v>
      </c>
      <c r="F28" s="170"/>
      <c r="G28" s="172"/>
      <c r="H28" s="8" t="s">
        <v>283</v>
      </c>
      <c r="I28" s="11">
        <f>I30/(I29*Aerodynamics!C12+Aerodynamics!C13*I30^2/I29)</f>
        <v>1.3507594179252385</v>
      </c>
      <c r="J28" s="4"/>
      <c r="K28" s="4"/>
      <c r="L28" s="4"/>
      <c r="M28" s="4"/>
      <c r="N28" s="4"/>
      <c r="O28" s="4"/>
    </row>
    <row r="29" spans="1:15" ht="13.8" x14ac:dyDescent="0.3">
      <c r="A29" s="58" t="s">
        <v>284</v>
      </c>
      <c r="B29" s="8" t="s">
        <v>285</v>
      </c>
      <c r="C29" s="59">
        <v>0.08</v>
      </c>
      <c r="D29" s="4"/>
      <c r="E29" s="169" t="s">
        <v>286</v>
      </c>
      <c r="F29" s="170"/>
      <c r="G29" s="172"/>
      <c r="H29" s="8" t="s">
        <v>287</v>
      </c>
      <c r="I29" s="11">
        <f>(Atmosphere!G20*I17^2+Atmosphere!G23*I27^2)/4</f>
        <v>653.80308796014583</v>
      </c>
      <c r="J29" s="4"/>
      <c r="K29" s="4"/>
      <c r="L29" s="4"/>
      <c r="M29" s="4"/>
      <c r="N29" s="4"/>
      <c r="O29" s="4"/>
    </row>
    <row r="30" spans="1:15" ht="13.8" x14ac:dyDescent="0.3">
      <c r="A30" s="94" t="s">
        <v>288</v>
      </c>
      <c r="B30" s="10"/>
      <c r="C30" s="60"/>
      <c r="D30" s="4"/>
      <c r="E30" s="169" t="s">
        <v>289</v>
      </c>
      <c r="F30" s="170"/>
      <c r="G30" s="172"/>
      <c r="H30" s="8" t="s">
        <v>290</v>
      </c>
      <c r="I30" s="12">
        <f>C73/C68*Baseline!C8</f>
        <v>40.377722664055092</v>
      </c>
      <c r="J30" s="4"/>
      <c r="K30" s="4"/>
      <c r="L30" s="4"/>
      <c r="M30" s="4"/>
      <c r="N30" s="4"/>
      <c r="O30" s="4"/>
    </row>
    <row r="31" spans="1:15" ht="13.8" x14ac:dyDescent="0.3">
      <c r="A31" s="58" t="s">
        <v>291</v>
      </c>
      <c r="B31" s="8" t="s">
        <v>292</v>
      </c>
      <c r="C31" s="59">
        <v>0</v>
      </c>
      <c r="D31" s="4"/>
      <c r="E31" s="169" t="s">
        <v>293</v>
      </c>
      <c r="F31" s="170"/>
      <c r="G31" s="172"/>
      <c r="H31" s="8" t="s">
        <v>294</v>
      </c>
      <c r="I31" s="11">
        <f>(C21+C33)/2</f>
        <v>26000</v>
      </c>
      <c r="J31" s="4"/>
      <c r="K31" s="4"/>
      <c r="L31" s="4"/>
      <c r="M31" s="4"/>
      <c r="N31" s="4"/>
      <c r="O31" s="4"/>
    </row>
    <row r="32" spans="1:15" ht="13.8" x14ac:dyDescent="0.3">
      <c r="A32" s="58" t="s">
        <v>217</v>
      </c>
      <c r="B32" s="8" t="s">
        <v>218</v>
      </c>
      <c r="C32" s="59">
        <v>1.5</v>
      </c>
      <c r="D32" s="4"/>
      <c r="E32" s="169" t="s">
        <v>295</v>
      </c>
      <c r="F32" s="170"/>
      <c r="G32" s="172"/>
      <c r="H32" s="8" t="s">
        <v>296</v>
      </c>
      <c r="I32" s="11">
        <f>Baseline!$C$7*(1-I31/100000*Propulsion!$C$10)*$C68/$C73</f>
        <v>0.59438716243809342</v>
      </c>
      <c r="J32" s="4"/>
      <c r="K32" s="4"/>
      <c r="L32" s="4"/>
      <c r="M32" s="4"/>
      <c r="N32" s="4"/>
      <c r="O32" s="4"/>
    </row>
    <row r="33" spans="1:15" ht="13.8" x14ac:dyDescent="0.3">
      <c r="A33" s="58" t="s">
        <v>297</v>
      </c>
      <c r="B33" s="8" t="s">
        <v>298</v>
      </c>
      <c r="C33" s="59">
        <v>32000</v>
      </c>
      <c r="D33" s="4"/>
      <c r="E33" s="169" t="s">
        <v>267</v>
      </c>
      <c r="F33" s="170"/>
      <c r="G33" s="172"/>
      <c r="H33" s="8" t="s">
        <v>299</v>
      </c>
      <c r="I33" s="11">
        <f>C33-C21+(I27^2-I17^2)/(2*Atmosphere!E4)</f>
        <v>36089.779287175479</v>
      </c>
      <c r="J33" s="4"/>
      <c r="K33" s="4"/>
      <c r="L33" s="4"/>
      <c r="M33" s="4"/>
      <c r="N33" s="4"/>
      <c r="O33" s="4"/>
    </row>
    <row r="34" spans="1:15" ht="13.8" x14ac:dyDescent="0.3">
      <c r="A34" s="94" t="s">
        <v>300</v>
      </c>
      <c r="B34" s="10"/>
      <c r="C34" s="60"/>
      <c r="D34" s="4"/>
      <c r="E34" s="48"/>
      <c r="F34" s="48"/>
      <c r="G34" s="48"/>
      <c r="H34" s="10"/>
      <c r="I34" s="10"/>
      <c r="J34" s="4"/>
      <c r="K34" s="4"/>
      <c r="L34" s="4"/>
      <c r="M34" s="4"/>
      <c r="N34" s="4"/>
      <c r="O34" s="4"/>
    </row>
    <row r="35" spans="1:15" ht="13.8" x14ac:dyDescent="0.3">
      <c r="A35" s="58" t="s">
        <v>301</v>
      </c>
      <c r="B35" s="8" t="s">
        <v>302</v>
      </c>
      <c r="C35" s="59">
        <v>0</v>
      </c>
      <c r="D35" s="4"/>
      <c r="E35" s="169" t="s">
        <v>303</v>
      </c>
      <c r="F35" s="170"/>
      <c r="G35" s="172"/>
      <c r="H35" s="8" t="s">
        <v>304</v>
      </c>
      <c r="I35" s="11">
        <f>C75/C68*Baseline!C8</f>
        <v>40.377722664055092</v>
      </c>
      <c r="J35" s="4"/>
      <c r="K35" s="4"/>
      <c r="L35" s="4"/>
      <c r="M35" s="4"/>
      <c r="N35" s="4"/>
      <c r="O35" s="4"/>
    </row>
    <row r="36" spans="1:15" ht="13.8" x14ac:dyDescent="0.3">
      <c r="A36" s="58" t="s">
        <v>305</v>
      </c>
      <c r="B36" s="8" t="s">
        <v>306</v>
      </c>
      <c r="C36" s="59">
        <v>100</v>
      </c>
      <c r="D36" s="4"/>
      <c r="E36" s="169" t="s">
        <v>307</v>
      </c>
      <c r="F36" s="170"/>
      <c r="G36" s="172"/>
      <c r="H36" s="8" t="s">
        <v>308</v>
      </c>
      <c r="I36" s="11">
        <f>Baseline!$C$7*(1-($C$33+$C$41)/2/100000*Propulsion!$C$10)*$C68/$C75</f>
        <v>0.59438716243809342</v>
      </c>
      <c r="J36" s="4"/>
      <c r="K36" s="4"/>
      <c r="L36" s="4"/>
      <c r="M36" s="4"/>
      <c r="N36" s="4"/>
      <c r="O36" s="4"/>
    </row>
    <row r="37" spans="1:15" ht="13.8" x14ac:dyDescent="0.3">
      <c r="A37" s="94" t="s">
        <v>309</v>
      </c>
      <c r="B37" s="10"/>
      <c r="C37" s="60"/>
      <c r="D37" s="4"/>
      <c r="E37" s="47" t="s">
        <v>310</v>
      </c>
      <c r="F37" s="48"/>
      <c r="G37" s="48"/>
      <c r="H37" s="8" t="s">
        <v>311</v>
      </c>
      <c r="I37" s="11">
        <f>Atmosphere!E24*C40</f>
        <v>1004.8102007031614</v>
      </c>
      <c r="J37" s="4"/>
      <c r="K37" s="4"/>
      <c r="L37" s="4"/>
      <c r="M37" s="4"/>
      <c r="N37" s="4"/>
      <c r="O37" s="4"/>
    </row>
    <row r="38" spans="1:15" ht="13.8" x14ac:dyDescent="0.3">
      <c r="A38" s="58" t="s">
        <v>312</v>
      </c>
      <c r="B38" s="8" t="s">
        <v>313</v>
      </c>
      <c r="C38" s="59">
        <v>0</v>
      </c>
      <c r="D38" s="4"/>
      <c r="E38" s="169" t="s">
        <v>314</v>
      </c>
      <c r="F38" s="170"/>
      <c r="G38" s="172"/>
      <c r="H38" s="8" t="s">
        <v>315</v>
      </c>
      <c r="I38" s="11">
        <f>(Atmosphere!G23*I27^2+Atmosphere!G24*I37^2)/4</f>
        <v>1051.8656707880634</v>
      </c>
      <c r="J38" s="4"/>
      <c r="K38" s="4"/>
      <c r="L38" s="4"/>
      <c r="M38" s="4"/>
      <c r="N38" s="4"/>
      <c r="O38" s="4"/>
    </row>
    <row r="39" spans="1:15" ht="13.8" x14ac:dyDescent="0.3">
      <c r="A39" s="58" t="s">
        <v>316</v>
      </c>
      <c r="B39" s="8" t="s">
        <v>317</v>
      </c>
      <c r="C39" s="59">
        <v>2</v>
      </c>
      <c r="D39" s="4"/>
      <c r="E39" s="169" t="s">
        <v>318</v>
      </c>
      <c r="F39" s="170"/>
      <c r="G39" s="172"/>
      <c r="H39" s="8" t="s">
        <v>319</v>
      </c>
      <c r="I39" s="11" t="e">
        <f>SQRT($I$38*($I$36-$I$38*Aerodynamics!$C$12/$I$35)/(Aerodynamics!$C$13*$I$35))</f>
        <v>#NUM!</v>
      </c>
      <c r="J39" s="4"/>
      <c r="K39" s="4"/>
      <c r="L39" s="4"/>
      <c r="M39" s="4"/>
      <c r="N39" s="4"/>
      <c r="O39" s="4"/>
    </row>
    <row r="40" spans="1:15" ht="13.8" x14ac:dyDescent="0.3">
      <c r="A40" s="58" t="s">
        <v>320</v>
      </c>
      <c r="B40" s="8" t="s">
        <v>321</v>
      </c>
      <c r="C40" s="59">
        <v>0.9</v>
      </c>
      <c r="D40" s="4"/>
      <c r="E40" s="169" t="s">
        <v>322</v>
      </c>
      <c r="F40" s="170"/>
      <c r="G40" s="172"/>
      <c r="H40" s="8" t="s">
        <v>323</v>
      </c>
      <c r="I40" s="11" t="e">
        <f>57.3*Atmosphere!$E$4*SQRT(I39^2-1)/(($I$37+$I$27)/2)</f>
        <v>#NUM!</v>
      </c>
      <c r="J40" s="4"/>
      <c r="K40" s="4"/>
      <c r="L40" s="4"/>
      <c r="M40" s="4"/>
      <c r="N40" s="4"/>
      <c r="O40" s="4"/>
    </row>
    <row r="41" spans="1:15" ht="13.8" x14ac:dyDescent="0.3">
      <c r="A41" s="58" t="s">
        <v>324</v>
      </c>
      <c r="B41" s="8" t="s">
        <v>325</v>
      </c>
      <c r="C41" s="59">
        <v>0</v>
      </c>
      <c r="D41" s="4"/>
      <c r="E41" s="169" t="s">
        <v>326</v>
      </c>
      <c r="F41" s="170"/>
      <c r="G41" s="172"/>
      <c r="H41" s="8" t="s">
        <v>327</v>
      </c>
      <c r="I41" s="11" t="e">
        <f>$C$39*2*PI()*57.3/$I$40</f>
        <v>#NUM!</v>
      </c>
      <c r="J41" s="4"/>
      <c r="K41" s="4"/>
      <c r="L41" s="4"/>
      <c r="M41" s="4"/>
      <c r="N41" s="4"/>
      <c r="O41" s="4"/>
    </row>
    <row r="42" spans="1:15" ht="13.8" x14ac:dyDescent="0.3">
      <c r="A42" s="94" t="s">
        <v>328</v>
      </c>
      <c r="B42" s="10"/>
      <c r="C42" s="60"/>
      <c r="D42" s="4"/>
      <c r="E42" s="48"/>
      <c r="F42" s="48"/>
      <c r="G42" s="48"/>
      <c r="H42" s="10"/>
      <c r="I42" s="10"/>
      <c r="J42" s="4"/>
      <c r="K42" s="4"/>
      <c r="L42" s="4"/>
      <c r="M42" s="4"/>
      <c r="N42" s="4"/>
      <c r="O42" s="4"/>
    </row>
    <row r="43" spans="1:15" ht="13.8" x14ac:dyDescent="0.3">
      <c r="A43" s="58" t="s">
        <v>329</v>
      </c>
      <c r="B43" s="8" t="s">
        <v>330</v>
      </c>
      <c r="C43" s="59">
        <v>0</v>
      </c>
      <c r="D43" s="4"/>
      <c r="E43" s="47" t="s">
        <v>278</v>
      </c>
      <c r="F43" s="48"/>
      <c r="G43" s="48"/>
      <c r="H43" s="8" t="s">
        <v>331</v>
      </c>
      <c r="I43" s="11">
        <f>Atmosphere!E26*$C$47</f>
        <v>883.50100308070012</v>
      </c>
      <c r="J43" s="4"/>
      <c r="K43" s="4"/>
      <c r="L43" s="4"/>
      <c r="M43" s="4"/>
      <c r="N43" s="4"/>
      <c r="O43" s="4"/>
    </row>
    <row r="44" spans="1:15" ht="13.8" x14ac:dyDescent="0.3">
      <c r="A44" s="58" t="s">
        <v>332</v>
      </c>
      <c r="B44" s="8" t="s">
        <v>333</v>
      </c>
      <c r="C44" s="59">
        <v>1000</v>
      </c>
      <c r="D44" s="4"/>
      <c r="E44" s="169" t="s">
        <v>282</v>
      </c>
      <c r="F44" s="170"/>
      <c r="G44" s="172"/>
      <c r="H44" s="8" t="s">
        <v>334</v>
      </c>
      <c r="I44" s="11">
        <f>I46/(I45*Aerodynamics!$C$12+Aerodynamics!$C$13*$I$46^2/$I$29)</f>
        <v>1.1892861779117228</v>
      </c>
      <c r="J44" s="4"/>
      <c r="K44" s="4"/>
      <c r="L44" s="4"/>
      <c r="M44" s="4"/>
      <c r="N44" s="4"/>
      <c r="O44" s="4"/>
    </row>
    <row r="45" spans="1:15" ht="13.8" x14ac:dyDescent="0.3">
      <c r="A45" s="94" t="s">
        <v>335</v>
      </c>
      <c r="B45" s="10"/>
      <c r="C45" s="60"/>
      <c r="D45" s="4"/>
      <c r="E45" s="47" t="s">
        <v>286</v>
      </c>
      <c r="F45" s="48"/>
      <c r="G45" s="48"/>
      <c r="H45" s="8" t="s">
        <v>336</v>
      </c>
      <c r="I45" s="11">
        <f>(Atmosphere!G24*$I$37^2+Atmosphere!G26*$I$43^2)/4</f>
        <v>755.26849765848806</v>
      </c>
      <c r="J45" s="4"/>
      <c r="K45" s="4"/>
      <c r="L45" s="4"/>
      <c r="M45" s="4"/>
      <c r="N45" s="4"/>
      <c r="O45" s="4"/>
    </row>
    <row r="46" spans="1:15" ht="13.8" x14ac:dyDescent="0.3">
      <c r="A46" s="58" t="s">
        <v>337</v>
      </c>
      <c r="B46" s="8" t="s">
        <v>338</v>
      </c>
      <c r="C46" s="59">
        <v>0</v>
      </c>
      <c r="D46" s="4"/>
      <c r="E46" s="47" t="s">
        <v>289</v>
      </c>
      <c r="F46" s="48"/>
      <c r="G46" s="48"/>
      <c r="H46" s="8" t="s">
        <v>339</v>
      </c>
      <c r="I46" s="12">
        <f>C77/C68*Baseline!$C$8</f>
        <v>40.377722664055092</v>
      </c>
      <c r="J46" s="4"/>
      <c r="K46" s="4"/>
      <c r="L46" s="4"/>
      <c r="M46" s="4"/>
      <c r="N46" s="4"/>
      <c r="O46" s="4"/>
    </row>
    <row r="47" spans="1:15" ht="13.8" x14ac:dyDescent="0.3">
      <c r="A47" s="58" t="s">
        <v>340</v>
      </c>
      <c r="B47" s="8" t="s">
        <v>341</v>
      </c>
      <c r="C47" s="59">
        <v>0.9</v>
      </c>
      <c r="D47" s="4"/>
      <c r="E47" s="169" t="s">
        <v>293</v>
      </c>
      <c r="F47" s="170"/>
      <c r="G47" s="172"/>
      <c r="H47" s="8" t="s">
        <v>342</v>
      </c>
      <c r="I47" s="11">
        <f>($C$41+$C$48)/2</f>
        <v>16500</v>
      </c>
      <c r="J47" s="4"/>
      <c r="K47" s="4"/>
      <c r="L47" s="4"/>
      <c r="M47" s="4"/>
      <c r="N47" s="4"/>
      <c r="O47" s="4"/>
    </row>
    <row r="48" spans="1:15" ht="13.8" x14ac:dyDescent="0.3">
      <c r="A48" s="58" t="s">
        <v>343</v>
      </c>
      <c r="B48" s="8" t="s">
        <v>344</v>
      </c>
      <c r="C48" s="59">
        <v>33000</v>
      </c>
      <c r="D48" s="4"/>
      <c r="E48" s="169" t="s">
        <v>295</v>
      </c>
      <c r="F48" s="170"/>
      <c r="G48" s="172"/>
      <c r="H48" s="8" t="s">
        <v>345</v>
      </c>
      <c r="I48" s="11">
        <f>Baseline!$C$7*(1-$I$47/100000*Propulsion!$C$10)*$C68/$C77</f>
        <v>0.59438716243809342</v>
      </c>
      <c r="J48" s="4"/>
      <c r="K48" s="4"/>
      <c r="L48" s="4"/>
      <c r="M48" s="4"/>
      <c r="N48" s="4"/>
      <c r="O48" s="4"/>
    </row>
    <row r="49" spans="1:15" ht="13.8" x14ac:dyDescent="0.3">
      <c r="A49" s="94" t="s">
        <v>346</v>
      </c>
      <c r="B49" s="10"/>
      <c r="C49" s="60"/>
      <c r="D49" s="4"/>
      <c r="E49" s="169" t="s">
        <v>267</v>
      </c>
      <c r="F49" s="170"/>
      <c r="G49" s="172"/>
      <c r="H49" s="8" t="s">
        <v>347</v>
      </c>
      <c r="I49" s="11">
        <f>$C$48-$C$41+($I$43^2-$I$37^2)/2/Atmosphere!E4</f>
        <v>29440.145505804001</v>
      </c>
      <c r="J49" s="4"/>
      <c r="K49" s="4"/>
      <c r="L49" s="4"/>
      <c r="M49" s="4"/>
      <c r="N49" s="4"/>
      <c r="O49" s="4"/>
    </row>
    <row r="50" spans="1:15" ht="13.8" x14ac:dyDescent="0.3">
      <c r="A50" s="58" t="s">
        <v>348</v>
      </c>
      <c r="B50" s="8" t="s">
        <v>349</v>
      </c>
      <c r="C50" s="59">
        <v>0</v>
      </c>
      <c r="D50" s="4"/>
      <c r="E50" s="4"/>
      <c r="F50" s="4"/>
      <c r="G50" s="4"/>
      <c r="H50" s="4"/>
      <c r="I50" s="4"/>
      <c r="J50" s="4"/>
      <c r="K50" s="4"/>
      <c r="L50" s="4"/>
      <c r="M50" s="4"/>
      <c r="N50" s="4"/>
      <c r="O50" s="4"/>
    </row>
    <row r="51" spans="1:15" ht="13.8" x14ac:dyDescent="0.3">
      <c r="A51" s="94" t="s">
        <v>350</v>
      </c>
      <c r="B51" s="10"/>
      <c r="C51" s="60"/>
      <c r="D51" s="4"/>
      <c r="E51" s="4"/>
      <c r="F51" s="4"/>
      <c r="G51" s="4"/>
      <c r="H51" s="4"/>
      <c r="I51" s="4"/>
      <c r="J51" s="4"/>
      <c r="K51" s="4"/>
      <c r="L51" s="4"/>
      <c r="M51" s="4"/>
      <c r="N51" s="4"/>
      <c r="O51" s="4"/>
    </row>
    <row r="52" spans="1:15" ht="13.8" x14ac:dyDescent="0.3">
      <c r="A52" s="58" t="s">
        <v>351</v>
      </c>
      <c r="B52" s="8" t="s">
        <v>352</v>
      </c>
      <c r="C52" s="59">
        <v>0</v>
      </c>
      <c r="D52" s="4"/>
      <c r="E52" s="4"/>
      <c r="F52" s="4"/>
      <c r="G52" s="4"/>
      <c r="H52" s="4"/>
      <c r="I52" s="4"/>
      <c r="J52" s="4"/>
      <c r="K52" s="4"/>
      <c r="L52" s="4"/>
      <c r="M52" s="4"/>
      <c r="N52" s="4"/>
      <c r="O52" s="4"/>
    </row>
    <row r="53" spans="1:15" ht="13.8" x14ac:dyDescent="0.3">
      <c r="A53" s="58" t="s">
        <v>262</v>
      </c>
      <c r="B53" s="8" t="s">
        <v>353</v>
      </c>
      <c r="C53" s="59">
        <v>35000</v>
      </c>
      <c r="D53" s="4"/>
      <c r="E53" s="4"/>
      <c r="F53" s="4"/>
      <c r="G53" s="4"/>
      <c r="H53" s="4"/>
      <c r="I53" s="4"/>
      <c r="J53" s="4"/>
      <c r="K53" s="4"/>
      <c r="L53" s="4"/>
      <c r="M53" s="4"/>
      <c r="N53" s="4"/>
      <c r="O53" s="4"/>
    </row>
    <row r="54" spans="1:15" ht="13.8" x14ac:dyDescent="0.3">
      <c r="A54" s="58" t="s">
        <v>258</v>
      </c>
      <c r="B54" s="8" t="s">
        <v>354</v>
      </c>
      <c r="C54" s="59">
        <v>0.77</v>
      </c>
      <c r="D54" s="4"/>
      <c r="E54" s="4"/>
      <c r="F54" s="4"/>
      <c r="G54" s="4"/>
      <c r="H54" s="4"/>
      <c r="I54" s="4"/>
      <c r="J54" s="4"/>
      <c r="K54" s="4"/>
      <c r="L54" s="4"/>
      <c r="M54" s="4"/>
      <c r="N54" s="4"/>
      <c r="O54" s="4"/>
    </row>
    <row r="55" spans="1:15" ht="13.8" x14ac:dyDescent="0.3">
      <c r="A55" s="94" t="s">
        <v>355</v>
      </c>
      <c r="B55" s="10"/>
      <c r="C55" s="60"/>
      <c r="D55" s="4"/>
      <c r="E55" s="4"/>
      <c r="F55" s="4"/>
      <c r="G55" s="4"/>
      <c r="H55" s="4"/>
      <c r="I55" s="4"/>
      <c r="J55" s="4"/>
      <c r="K55" s="4"/>
      <c r="L55" s="4"/>
      <c r="M55" s="4"/>
      <c r="N55" s="4"/>
      <c r="O55" s="4"/>
    </row>
    <row r="56" spans="1:15" ht="13.8" x14ac:dyDescent="0.3">
      <c r="A56" s="58" t="s">
        <v>356</v>
      </c>
      <c r="B56" s="8" t="s">
        <v>357</v>
      </c>
      <c r="C56" s="59">
        <v>1</v>
      </c>
      <c r="D56" s="4"/>
      <c r="E56" s="4"/>
      <c r="F56" s="4"/>
      <c r="G56" s="4"/>
      <c r="H56" s="4"/>
      <c r="I56" s="4"/>
      <c r="J56" s="4"/>
      <c r="K56" s="4"/>
      <c r="L56" s="4"/>
      <c r="M56" s="4"/>
      <c r="N56" s="4"/>
      <c r="O56" s="4"/>
    </row>
    <row r="57" spans="1:15" ht="13.8" x14ac:dyDescent="0.3">
      <c r="A57" s="58" t="s">
        <v>358</v>
      </c>
      <c r="B57" s="8" t="s">
        <v>359</v>
      </c>
      <c r="C57" s="59">
        <v>0.5</v>
      </c>
      <c r="D57" s="4"/>
      <c r="E57" s="4"/>
      <c r="F57" s="4"/>
      <c r="G57" s="4"/>
      <c r="H57" s="4"/>
      <c r="I57" s="4"/>
      <c r="J57" s="4"/>
      <c r="K57" s="4"/>
      <c r="L57" s="4"/>
      <c r="M57" s="4"/>
      <c r="N57" s="4"/>
      <c r="O57" s="4"/>
    </row>
    <row r="58" spans="1:15" ht="13.8" x14ac:dyDescent="0.3">
      <c r="A58" s="94" t="s">
        <v>360</v>
      </c>
      <c r="B58" s="10"/>
      <c r="C58" s="60"/>
      <c r="D58" s="4"/>
      <c r="E58" s="4"/>
      <c r="F58" s="4"/>
      <c r="G58" s="4"/>
      <c r="H58" s="4"/>
      <c r="I58" s="4"/>
      <c r="J58" s="4"/>
      <c r="K58" s="4"/>
      <c r="L58" s="4"/>
      <c r="M58" s="4"/>
      <c r="N58" s="4"/>
      <c r="O58" s="4"/>
    </row>
    <row r="59" spans="1:15" ht="13.8" x14ac:dyDescent="0.3">
      <c r="A59" s="58" t="s">
        <v>361</v>
      </c>
      <c r="B59" s="8" t="s">
        <v>362</v>
      </c>
      <c r="C59" s="59">
        <v>1</v>
      </c>
      <c r="D59" s="4"/>
      <c r="E59" s="4"/>
      <c r="F59" s="4"/>
      <c r="G59" s="4"/>
      <c r="H59" s="4"/>
      <c r="I59" s="4"/>
      <c r="J59" s="4"/>
      <c r="K59" s="4"/>
      <c r="L59" s="4"/>
      <c r="M59" s="4"/>
      <c r="N59" s="4"/>
      <c r="O59" s="4"/>
    </row>
    <row r="60" spans="1:15" ht="13.8" x14ac:dyDescent="0.3">
      <c r="A60" s="58" t="s">
        <v>358</v>
      </c>
      <c r="B60" s="8" t="s">
        <v>363</v>
      </c>
      <c r="C60" s="59">
        <v>2</v>
      </c>
      <c r="D60" s="4"/>
      <c r="E60" s="4"/>
      <c r="F60" s="4"/>
      <c r="G60" s="4"/>
      <c r="H60" s="4"/>
      <c r="I60" s="4"/>
      <c r="J60" s="4"/>
      <c r="K60" s="4"/>
      <c r="L60" s="4"/>
      <c r="M60" s="4"/>
      <c r="N60" s="4"/>
      <c r="O60" s="4"/>
    </row>
    <row r="61" spans="1:15" ht="13.8" x14ac:dyDescent="0.3">
      <c r="A61" s="95"/>
      <c r="B61" s="10"/>
      <c r="C61" s="60"/>
      <c r="D61" s="4"/>
      <c r="E61" s="4"/>
      <c r="F61" s="4"/>
      <c r="G61" s="4"/>
      <c r="H61" s="4"/>
      <c r="I61" s="4"/>
      <c r="J61" s="4"/>
      <c r="K61" s="4"/>
      <c r="L61" s="4"/>
      <c r="M61" s="4"/>
      <c r="N61" s="4"/>
      <c r="O61" s="4"/>
    </row>
    <row r="62" spans="1:15" ht="14.4" thickBot="1" x14ac:dyDescent="0.35">
      <c r="A62" s="96" t="s">
        <v>364</v>
      </c>
      <c r="B62" s="62" t="s">
        <v>365</v>
      </c>
      <c r="C62" s="63">
        <v>13</v>
      </c>
      <c r="D62" s="4"/>
      <c r="E62" s="4"/>
      <c r="F62" s="4"/>
      <c r="G62" s="4"/>
      <c r="H62" s="4"/>
      <c r="I62" s="4"/>
      <c r="J62" s="4"/>
      <c r="K62" s="4"/>
      <c r="L62" s="4"/>
      <c r="M62" s="4"/>
      <c r="N62" s="4"/>
      <c r="O62" s="4"/>
    </row>
    <row r="63" spans="1:15" ht="13.8" x14ac:dyDescent="0.3">
      <c r="A63" s="4"/>
      <c r="B63" s="4"/>
      <c r="C63" s="4"/>
      <c r="D63" s="4"/>
      <c r="E63" s="4"/>
      <c r="F63" s="4"/>
      <c r="G63" s="4"/>
      <c r="H63" s="4"/>
      <c r="I63" s="4"/>
      <c r="J63" s="4"/>
      <c r="K63" s="4"/>
      <c r="L63" s="4"/>
      <c r="M63" s="4"/>
      <c r="N63" s="4"/>
      <c r="O63" s="4"/>
    </row>
    <row r="64" spans="1:15" ht="13.8" x14ac:dyDescent="0.3">
      <c r="A64" s="4"/>
      <c r="B64" s="4"/>
      <c r="C64" s="4"/>
      <c r="D64" s="4"/>
      <c r="E64" s="4"/>
      <c r="F64" s="4"/>
      <c r="G64" s="4"/>
      <c r="H64" s="4"/>
      <c r="I64" s="4"/>
      <c r="J64" s="4"/>
      <c r="K64" s="4"/>
      <c r="L64" s="4"/>
      <c r="M64" s="4"/>
      <c r="N64" s="4"/>
      <c r="O64" s="4"/>
    </row>
    <row r="65" spans="1:15" ht="13.8" x14ac:dyDescent="0.3">
      <c r="A65" s="2" t="s">
        <v>366</v>
      </c>
      <c r="B65" s="4"/>
      <c r="C65" s="4"/>
      <c r="D65" s="4"/>
      <c r="E65" s="4"/>
      <c r="F65" s="4"/>
      <c r="G65" s="4"/>
      <c r="H65" s="4"/>
      <c r="I65" s="4"/>
      <c r="J65" s="4"/>
      <c r="K65" s="4"/>
      <c r="L65" s="17"/>
      <c r="M65" s="4"/>
      <c r="N65" s="4"/>
      <c r="O65" s="4"/>
    </row>
    <row r="66" spans="1:15" ht="13.8" x14ac:dyDescent="0.3">
      <c r="A66" s="4"/>
      <c r="B66" s="4"/>
      <c r="C66" s="4"/>
      <c r="D66" s="4"/>
      <c r="E66" s="4"/>
      <c r="F66" s="4"/>
      <c r="G66" s="4"/>
      <c r="H66" s="4"/>
      <c r="I66" s="4"/>
      <c r="J66" s="4"/>
      <c r="K66" s="4"/>
      <c r="L66" s="17"/>
      <c r="M66" s="4"/>
      <c r="N66" s="4"/>
      <c r="O66" s="4"/>
    </row>
    <row r="67" spans="1:15" ht="14.4" thickBot="1" x14ac:dyDescent="0.35">
      <c r="A67" s="5"/>
      <c r="B67" s="5"/>
      <c r="C67" s="9"/>
      <c r="D67" s="4"/>
      <c r="E67" s="4"/>
      <c r="F67" s="4"/>
      <c r="G67" s="4"/>
      <c r="H67" s="4"/>
      <c r="I67" s="4"/>
      <c r="J67" s="4"/>
      <c r="K67" s="4"/>
      <c r="L67" s="17"/>
      <c r="M67" s="4"/>
      <c r="N67" s="4"/>
      <c r="O67" s="4"/>
    </row>
    <row r="68" spans="1:15" ht="13.8" x14ac:dyDescent="0.3">
      <c r="A68" s="55" t="s">
        <v>368</v>
      </c>
      <c r="B68" s="92"/>
      <c r="C68" s="88">
        <f>Baseline!$C$3</f>
        <v>47550.272049316409</v>
      </c>
      <c r="D68" s="20"/>
      <c r="E68" s="20"/>
      <c r="F68" s="20"/>
      <c r="G68" s="20"/>
      <c r="H68" s="20"/>
      <c r="I68" s="20"/>
      <c r="J68" s="20"/>
      <c r="K68" s="20"/>
      <c r="L68" s="1"/>
      <c r="M68" s="20"/>
      <c r="N68" s="20"/>
      <c r="O68" s="20"/>
    </row>
    <row r="69" spans="1:15" ht="13.8" x14ac:dyDescent="0.3">
      <c r="A69" s="95"/>
      <c r="B69" s="10"/>
      <c r="C69" s="86"/>
      <c r="D69" s="25"/>
      <c r="E69" s="25"/>
      <c r="F69" s="25"/>
      <c r="G69" s="25"/>
      <c r="H69" s="25"/>
      <c r="I69" s="25"/>
      <c r="J69" s="25"/>
      <c r="K69" s="25"/>
      <c r="L69" s="1"/>
      <c r="M69" s="25"/>
      <c r="N69" s="25"/>
      <c r="O69" s="25"/>
    </row>
    <row r="70" spans="1:15" ht="13.8" x14ac:dyDescent="0.3">
      <c r="A70" s="108" t="str">
        <f>A13</f>
        <v>Phase 1 - Takeoff:</v>
      </c>
      <c r="B70" s="10"/>
      <c r="C70" s="145">
        <f>IF($C$14=0,C68,+C68*(1-$C$15/100))</f>
        <v>47217.420144971191</v>
      </c>
      <c r="D70" s="39"/>
      <c r="E70" s="39"/>
      <c r="F70" s="39"/>
      <c r="G70" s="39"/>
      <c r="H70" s="39"/>
      <c r="I70" s="39"/>
      <c r="J70" s="39"/>
      <c r="K70" s="39"/>
      <c r="L70" s="1"/>
      <c r="M70" s="39"/>
      <c r="N70" s="39"/>
      <c r="O70" s="39"/>
    </row>
    <row r="71" spans="1:15" ht="13.8" x14ac:dyDescent="0.3">
      <c r="A71" s="108" t="str">
        <f>A16</f>
        <v>Phase 2 - Climb &amp; Accel:</v>
      </c>
      <c r="B71" s="10"/>
      <c r="C71" s="145">
        <f>IF($C$17=0,C70,+C70/EXP((Propulsion!$C$11*$I$22)/(($I$16+$I$17)*3600/2*(1-1/($I$21*$I$20)))))</f>
        <v>46677.527362807508</v>
      </c>
      <c r="D71" s="39"/>
      <c r="E71" s="39"/>
      <c r="F71" s="39"/>
      <c r="G71" s="39"/>
      <c r="H71" s="39"/>
      <c r="I71" s="39"/>
      <c r="J71" s="39"/>
      <c r="K71" s="39"/>
      <c r="L71" s="1"/>
      <c r="M71" s="39"/>
      <c r="N71" s="39"/>
      <c r="O71" s="39"/>
    </row>
    <row r="72" spans="1:15" ht="13.8" x14ac:dyDescent="0.3">
      <c r="A72" s="108" t="str">
        <f>A22</f>
        <v>Phase 3 - Subsonic Cruise:</v>
      </c>
      <c r="B72" s="10"/>
      <c r="C72" s="145">
        <f>IF($C$23=0,C71,+C71/EXP(Propulsion!$C$12*$C$24*6080/($I$17*Aerodynamics!$I$12*3600)))</f>
        <v>32099.782691090168</v>
      </c>
      <c r="D72" s="39"/>
      <c r="E72" s="39"/>
      <c r="F72" s="39"/>
      <c r="G72" s="39"/>
      <c r="H72" s="39"/>
      <c r="I72" s="39"/>
      <c r="J72" s="39"/>
      <c r="K72" s="39"/>
      <c r="L72" s="1"/>
      <c r="M72" s="39"/>
      <c r="N72" s="39"/>
      <c r="O72" s="39"/>
    </row>
    <row r="73" spans="1:15" ht="13.8" x14ac:dyDescent="0.3">
      <c r="A73" s="108" t="str">
        <f>A25</f>
        <v>Phase 4 - Loiter (for ASW):</v>
      </c>
      <c r="B73" s="10"/>
      <c r="C73" s="145">
        <f>IF($C$26=0,C72,+C72/EXP(Propulsion!$C$13*$C$29/Aerodynamics!$I$11))</f>
        <v>31999.528290127808</v>
      </c>
      <c r="D73" s="39"/>
      <c r="E73" s="39"/>
      <c r="F73" s="39"/>
      <c r="G73" s="39"/>
      <c r="H73" s="39"/>
      <c r="I73" s="39"/>
      <c r="J73" s="39"/>
      <c r="K73" s="39"/>
      <c r="L73" s="1"/>
      <c r="M73" s="39"/>
      <c r="N73" s="39"/>
      <c r="O73" s="39"/>
    </row>
    <row r="74" spans="1:15" ht="13.8" x14ac:dyDescent="0.3">
      <c r="A74" s="108" t="str">
        <f>A30</f>
        <v>Phase 5 - Accel to Supercruise:</v>
      </c>
      <c r="B74" s="10"/>
      <c r="C74" s="145">
        <f>IF($C$31=0,C73,+C73/EXP((Propulsion!$C$14*$I$33)/(($I$17+$I$27)*3600/2*(1-1/($I$32*$I$28)))))</f>
        <v>31999.528290127808</v>
      </c>
      <c r="D74" s="39"/>
      <c r="E74" s="39"/>
      <c r="F74" s="39"/>
      <c r="G74" s="39"/>
      <c r="H74" s="39"/>
      <c r="I74" s="39"/>
      <c r="J74" s="39"/>
      <c r="K74" s="39"/>
      <c r="L74" s="1"/>
      <c r="M74" s="39"/>
      <c r="N74" s="39"/>
      <c r="O74" s="39"/>
    </row>
    <row r="75" spans="1:15" ht="13.8" x14ac:dyDescent="0.3">
      <c r="A75" s="108" t="str">
        <f>A34</f>
        <v>Phase 6 - Supersonic Penetration:</v>
      </c>
      <c r="B75" s="10"/>
      <c r="C75" s="145">
        <f>IF($C$35=0,C74,+C74/EXP(Propulsion!$C$14*$C$36*6080/($I$27*Aerodynamics!$I$14*3600)))</f>
        <v>31999.528290127808</v>
      </c>
      <c r="D75" s="39"/>
      <c r="E75" s="39"/>
      <c r="F75" s="39"/>
      <c r="G75" s="39"/>
      <c r="H75" s="39"/>
      <c r="I75" s="39"/>
      <c r="J75" s="39"/>
      <c r="K75" s="39"/>
      <c r="L75" s="1"/>
      <c r="M75" s="39"/>
      <c r="N75" s="39"/>
      <c r="O75" s="39"/>
    </row>
    <row r="76" spans="1:15" ht="13.8" x14ac:dyDescent="0.3">
      <c r="A76" s="108" t="str">
        <f>A37</f>
        <v>Phase 7 - Combat (final):</v>
      </c>
      <c r="B76" s="10"/>
      <c r="C76" s="145">
        <f>IF($C$38=0,C75,+C75*(1-Propulsion!$C$15/3600*$I$36*$I$41))</f>
        <v>31999.528290127808</v>
      </c>
      <c r="D76" s="39"/>
      <c r="E76" s="39"/>
      <c r="F76" s="39"/>
      <c r="G76" s="39"/>
      <c r="H76" s="39"/>
      <c r="I76" s="39"/>
      <c r="J76" s="39"/>
      <c r="K76" s="39"/>
      <c r="L76" s="1"/>
      <c r="M76" s="39"/>
      <c r="N76" s="39"/>
      <c r="O76" s="39"/>
    </row>
    <row r="77" spans="1:15" ht="13.8" x14ac:dyDescent="0.3">
      <c r="A77" s="108" t="str">
        <f>A42</f>
        <v>Phase 8 - Drop weapons:</v>
      </c>
      <c r="B77" s="10"/>
      <c r="C77" s="145">
        <f>IF($C$43=0,C76,+C76-$C$44)</f>
        <v>31999.528290127808</v>
      </c>
      <c r="D77" s="39"/>
      <c r="E77" s="39"/>
      <c r="F77" s="39"/>
      <c r="G77" s="39"/>
      <c r="H77" s="39"/>
      <c r="I77" s="39"/>
      <c r="J77" s="39"/>
      <c r="K77" s="39"/>
      <c r="L77" s="1"/>
      <c r="M77" s="39"/>
      <c r="N77" s="39"/>
      <c r="O77" s="39"/>
    </row>
    <row r="78" spans="1:15" ht="13.8" x14ac:dyDescent="0.3">
      <c r="A78" s="108" t="str">
        <f>A45</f>
        <v>Phase 9 - Climb &amp; Accel:</v>
      </c>
      <c r="B78" s="10"/>
      <c r="C78" s="145">
        <f>IF($C$46=0,C77,+C77/EXP((Propulsion!$C$14*$I$49)/(($I$37+$I$43)*3600/2*(1-1/($I$48*$I$44)))))</f>
        <v>31999.528290127808</v>
      </c>
      <c r="D78" s="39"/>
      <c r="E78" s="39"/>
      <c r="F78" s="39"/>
      <c r="G78" s="39"/>
      <c r="H78" s="39"/>
      <c r="I78" s="39"/>
      <c r="J78" s="39"/>
      <c r="K78" s="39"/>
      <c r="L78" s="1"/>
      <c r="M78" s="39"/>
      <c r="N78" s="39"/>
      <c r="O78" s="39"/>
    </row>
    <row r="79" spans="1:15" ht="13.8" x14ac:dyDescent="0.3">
      <c r="A79" s="108" t="str">
        <f>A49</f>
        <v>Phase 10 - Supercruise Return:</v>
      </c>
      <c r="B79" s="10"/>
      <c r="C79" s="145">
        <f>IF($C$50=0,C78,+C78/EXP(Propulsion!$C$14*$C$36*6080/($I$43*Aerodynamics!$I$14*3600)))</f>
        <v>31999.528290127808</v>
      </c>
      <c r="D79" s="39"/>
      <c r="E79" s="39"/>
      <c r="F79" s="39"/>
      <c r="G79" s="39"/>
      <c r="H79" s="39"/>
      <c r="I79" s="39"/>
      <c r="J79" s="39"/>
      <c r="K79" s="39"/>
      <c r="L79" s="1"/>
      <c r="M79" s="39"/>
      <c r="N79" s="39"/>
      <c r="O79" s="39"/>
    </row>
    <row r="80" spans="1:15" ht="13.8" x14ac:dyDescent="0.3">
      <c r="A80" s="108" t="str">
        <f>A51</f>
        <v>Phase 11 - Subsonic Cruise:</v>
      </c>
      <c r="B80" s="10"/>
      <c r="C80" s="145">
        <f>IF($C$52=0,C79,+C79/EXP(Propulsion!$C$12*$C$24*6080/($I$17*Aerodynamics!$I$12*3600)))</f>
        <v>31999.528290127808</v>
      </c>
      <c r="D80" s="39"/>
      <c r="E80" s="39"/>
      <c r="F80" s="39"/>
      <c r="G80" s="39"/>
      <c r="H80" s="39"/>
      <c r="I80" s="39"/>
      <c r="J80" s="39"/>
      <c r="K80" s="39"/>
      <c r="L80" s="1"/>
      <c r="M80" s="39"/>
      <c r="N80" s="39"/>
      <c r="O80" s="39"/>
    </row>
    <row r="81" spans="1:15" ht="13.8" x14ac:dyDescent="0.3">
      <c r="A81" s="108" t="str">
        <f>A55</f>
        <v>Phase 12 - Descent:</v>
      </c>
      <c r="B81" s="10"/>
      <c r="C81" s="145">
        <f>IF($C$56=0,C80,+C80*(1-$C$57/100))</f>
        <v>31839.53064867717</v>
      </c>
      <c r="D81" s="39"/>
      <c r="E81" s="39"/>
      <c r="F81" s="39"/>
      <c r="G81" s="39"/>
      <c r="H81" s="39"/>
      <c r="I81" s="39"/>
      <c r="J81" s="39"/>
      <c r="K81" s="39"/>
      <c r="L81" s="1"/>
      <c r="M81" s="39"/>
      <c r="N81" s="39"/>
      <c r="O81" s="39"/>
    </row>
    <row r="82" spans="1:15" ht="13.8" x14ac:dyDescent="0.3">
      <c r="A82" s="108" t="str">
        <f>A58</f>
        <v>Phase 13 - Land &amp; Taxi:</v>
      </c>
      <c r="B82" s="10"/>
      <c r="C82" s="145">
        <f>IF($C$59=0,C81,+C81*(1-$C$60/100))</f>
        <v>31202.740035703624</v>
      </c>
      <c r="D82" s="39"/>
      <c r="E82" s="39"/>
      <c r="F82" s="39"/>
      <c r="G82" s="39"/>
      <c r="H82" s="39"/>
      <c r="I82" s="39"/>
      <c r="J82" s="39"/>
      <c r="K82" s="39"/>
      <c r="L82" s="1"/>
      <c r="M82" s="39"/>
      <c r="N82" s="39"/>
      <c r="O82" s="39"/>
    </row>
    <row r="83" spans="1:15" ht="13.8" x14ac:dyDescent="0.3">
      <c r="A83" s="58" t="s">
        <v>369</v>
      </c>
      <c r="B83" s="10"/>
      <c r="C83" s="145">
        <f>C68-C82-$C$44</f>
        <v>15347.532013612785</v>
      </c>
      <c r="D83" s="39"/>
      <c r="E83" s="39"/>
      <c r="F83" s="39"/>
      <c r="G83" s="39"/>
      <c r="H83" s="39"/>
      <c r="I83" s="39"/>
      <c r="J83" s="39"/>
      <c r="K83" s="39"/>
      <c r="L83" s="1"/>
      <c r="M83" s="39"/>
      <c r="N83" s="39"/>
      <c r="O83" s="39"/>
    </row>
    <row r="84" spans="1:15" ht="13.8" x14ac:dyDescent="0.3">
      <c r="A84" s="58" t="s">
        <v>370</v>
      </c>
      <c r="B84" s="10"/>
      <c r="C84" s="145">
        <f>C83*(1+$C$62/100)</f>
        <v>17342.711175382447</v>
      </c>
      <c r="D84" s="39"/>
      <c r="E84" s="39"/>
      <c r="F84" s="39"/>
      <c r="G84" s="39"/>
      <c r="H84" s="39"/>
      <c r="I84" s="39"/>
      <c r="J84" s="39"/>
      <c r="K84" s="39"/>
      <c r="L84" s="1"/>
      <c r="M84" s="39"/>
      <c r="N84" s="39"/>
      <c r="O84" s="39"/>
    </row>
    <row r="85" spans="1:15" ht="14.4" thickBot="1" x14ac:dyDescent="0.35">
      <c r="A85" s="61" t="s">
        <v>371</v>
      </c>
      <c r="B85" s="79"/>
      <c r="C85" s="159">
        <f>C68-C84-Baseline!$I$6</f>
        <v>28307.560873933962</v>
      </c>
      <c r="D85" s="39"/>
      <c r="E85" s="39"/>
      <c r="F85" s="39"/>
      <c r="G85" s="39"/>
      <c r="H85" s="39"/>
      <c r="I85" s="39"/>
      <c r="J85" s="39"/>
      <c r="K85" s="39"/>
      <c r="L85" s="1"/>
      <c r="M85" s="39"/>
      <c r="N85" s="39"/>
      <c r="O85" s="39"/>
    </row>
    <row r="86" spans="1:15" ht="13.8" x14ac:dyDescent="0.3">
      <c r="A86" s="25"/>
      <c r="B86" s="25"/>
      <c r="C86" s="25"/>
      <c r="D86" s="25"/>
      <c r="E86" s="25"/>
      <c r="F86" s="25"/>
      <c r="G86" s="25"/>
      <c r="H86" s="25"/>
      <c r="I86" s="25"/>
      <c r="J86" s="25"/>
      <c r="K86" s="25"/>
      <c r="L86" s="1"/>
      <c r="M86" s="25"/>
      <c r="N86" s="25"/>
      <c r="O86" s="25"/>
    </row>
  </sheetData>
  <mergeCells count="22">
    <mergeCell ref="E32:G32"/>
    <mergeCell ref="E49:G49"/>
    <mergeCell ref="E48:G48"/>
    <mergeCell ref="E47:G47"/>
    <mergeCell ref="E44:G44"/>
    <mergeCell ref="E41:G41"/>
    <mergeCell ref="E40:G40"/>
    <mergeCell ref="E39:G39"/>
    <mergeCell ref="E38:G38"/>
    <mergeCell ref="E36:G36"/>
    <mergeCell ref="E35:G35"/>
    <mergeCell ref="E33:G33"/>
    <mergeCell ref="E31:G31"/>
    <mergeCell ref="E30:G30"/>
    <mergeCell ref="E29:G29"/>
    <mergeCell ref="E28:G28"/>
    <mergeCell ref="E16:G16"/>
    <mergeCell ref="E17:G17"/>
    <mergeCell ref="E19:G19"/>
    <mergeCell ref="E20:G20"/>
    <mergeCell ref="E21:G21"/>
    <mergeCell ref="E22:G22"/>
  </mergeCells>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51"/>
  <sheetViews>
    <sheetView topLeftCell="A18" zoomScale="99" zoomScaleNormal="99" workbookViewId="0">
      <selection activeCell="U39" sqref="U39"/>
    </sheetView>
  </sheetViews>
  <sheetFormatPr defaultRowHeight="12" x14ac:dyDescent="0.2"/>
  <cols>
    <col min="1" max="1" width="27.21875" customWidth="1"/>
    <col min="4" max="4" width="3.33203125" customWidth="1"/>
    <col min="8" max="8" width="10.88671875" customWidth="1"/>
    <col min="10" max="10" width="3.33203125" customWidth="1"/>
    <col min="16" max="16" width="2.33203125" customWidth="1"/>
    <col min="22" max="22" width="2.109375" customWidth="1"/>
  </cols>
  <sheetData>
    <row r="1" spans="1:28" ht="13.8" x14ac:dyDescent="0.3">
      <c r="A1" s="2" t="s">
        <v>14</v>
      </c>
      <c r="B1" s="4"/>
      <c r="C1" s="4"/>
      <c r="D1" s="4"/>
      <c r="E1" s="4"/>
      <c r="F1" s="4"/>
      <c r="G1" s="4"/>
      <c r="H1" s="4"/>
      <c r="I1" s="4"/>
      <c r="J1" s="4"/>
      <c r="K1" s="4"/>
      <c r="L1" s="4"/>
      <c r="M1" s="4"/>
      <c r="N1" s="4"/>
    </row>
    <row r="2" spans="1:28" ht="14.4" thickBot="1" x14ac:dyDescent="0.35">
      <c r="A2" s="4"/>
      <c r="B2" s="4"/>
      <c r="C2" s="4"/>
      <c r="D2" s="4"/>
      <c r="E2" s="4"/>
      <c r="F2" s="4"/>
      <c r="G2" s="4"/>
      <c r="H2" s="4"/>
      <c r="I2" s="4"/>
      <c r="J2" s="4"/>
      <c r="K2" s="4"/>
      <c r="L2" s="4"/>
      <c r="M2" s="4"/>
      <c r="N2" s="4"/>
      <c r="O2" s="4"/>
      <c r="P2" s="6" t="s">
        <v>15</v>
      </c>
      <c r="Q2" s="5" t="s">
        <v>15</v>
      </c>
      <c r="R2" s="4"/>
    </row>
    <row r="3" spans="1:28" ht="13.8" x14ac:dyDescent="0.3">
      <c r="A3" s="55" t="s">
        <v>16</v>
      </c>
      <c r="B3" s="56" t="s">
        <v>17</v>
      </c>
      <c r="C3" s="57">
        <v>47550.272049316409</v>
      </c>
      <c r="D3" s="4"/>
      <c r="E3" s="183" t="str">
        <f>'Wt &amp; Balance'!A129</f>
        <v>We(reqd) - We(avail)</v>
      </c>
      <c r="F3" s="183"/>
      <c r="G3" s="183"/>
      <c r="H3" s="10" t="s">
        <v>747</v>
      </c>
      <c r="I3" s="40">
        <f>'Wt &amp; Balance'!C129</f>
        <v>3537.7824218535934</v>
      </c>
      <c r="J3" s="4"/>
      <c r="K3" s="4"/>
      <c r="L3" s="4"/>
      <c r="M3" s="4"/>
      <c r="N3" s="4"/>
      <c r="O3" s="4"/>
      <c r="P3" s="4"/>
      <c r="Q3" s="4"/>
      <c r="R3" s="4"/>
    </row>
    <row r="4" spans="1:28" ht="13.8" x14ac:dyDescent="0.3">
      <c r="A4" s="58" t="s">
        <v>18</v>
      </c>
      <c r="B4" s="8" t="s">
        <v>19</v>
      </c>
      <c r="C4" s="59">
        <v>250</v>
      </c>
      <c r="D4" s="4"/>
      <c r="J4" s="4"/>
      <c r="K4" s="4"/>
      <c r="L4" s="4"/>
      <c r="M4" s="4"/>
      <c r="N4" s="4"/>
      <c r="O4" s="4"/>
      <c r="P4" s="4"/>
      <c r="Q4" s="4"/>
      <c r="R4" s="4"/>
    </row>
    <row r="5" spans="1:28" ht="13.8" x14ac:dyDescent="0.3">
      <c r="A5" s="58" t="s">
        <v>22</v>
      </c>
      <c r="B5" s="8" t="s">
        <v>23</v>
      </c>
      <c r="C5" s="59">
        <v>0</v>
      </c>
      <c r="D5" s="4"/>
      <c r="E5" s="4"/>
      <c r="F5" s="4"/>
      <c r="G5" s="4"/>
      <c r="H5" s="4"/>
      <c r="I5" s="4"/>
      <c r="J5" s="4"/>
      <c r="K5" s="4"/>
      <c r="L5" s="4"/>
      <c r="M5" s="4"/>
      <c r="N5" s="4"/>
      <c r="O5" s="4"/>
      <c r="P5" s="4"/>
      <c r="Q5" s="4"/>
      <c r="R5" s="4"/>
    </row>
    <row r="6" spans="1:28" ht="13.8" x14ac:dyDescent="0.3">
      <c r="A6" s="58" t="s">
        <v>24</v>
      </c>
      <c r="B6" s="8" t="s">
        <v>25</v>
      </c>
      <c r="C6" s="59">
        <v>1900</v>
      </c>
      <c r="D6" s="4"/>
      <c r="E6" s="8" t="s">
        <v>20</v>
      </c>
      <c r="F6" s="10"/>
      <c r="G6" s="10"/>
      <c r="H6" s="8" t="s">
        <v>21</v>
      </c>
      <c r="I6" s="11">
        <f>C6+C5</f>
        <v>1900</v>
      </c>
      <c r="J6" s="4"/>
      <c r="K6" s="4"/>
      <c r="L6" s="4"/>
      <c r="M6" s="4"/>
      <c r="N6" s="4"/>
      <c r="O6" s="4"/>
      <c r="P6" s="4"/>
      <c r="Q6" s="4"/>
      <c r="R6" s="4"/>
    </row>
    <row r="7" spans="1:28" ht="15" x14ac:dyDescent="0.35">
      <c r="A7" s="58" t="s">
        <v>711</v>
      </c>
      <c r="B7" s="8" t="s">
        <v>26</v>
      </c>
      <c r="C7" s="59">
        <v>0.4</v>
      </c>
      <c r="D7" s="4"/>
      <c r="E7" s="4"/>
      <c r="F7" s="4"/>
      <c r="G7" s="4"/>
      <c r="H7" s="4"/>
      <c r="I7" s="4"/>
      <c r="J7" s="4"/>
      <c r="K7" s="4"/>
      <c r="L7" s="4"/>
      <c r="M7" s="4"/>
      <c r="N7" s="4"/>
      <c r="O7" s="4"/>
      <c r="P7" s="4"/>
      <c r="Q7" s="4"/>
      <c r="R7" s="4"/>
    </row>
    <row r="8" spans="1:28" ht="13.8" x14ac:dyDescent="0.3">
      <c r="A8" s="58" t="s">
        <v>707</v>
      </c>
      <c r="B8" s="8" t="s">
        <v>27</v>
      </c>
      <c r="C8" s="59">
        <v>60</v>
      </c>
      <c r="D8" s="4"/>
      <c r="E8" s="4"/>
      <c r="F8" s="4"/>
      <c r="G8" s="4"/>
      <c r="H8" s="4"/>
      <c r="I8" s="4"/>
      <c r="J8" s="4"/>
      <c r="K8" s="4"/>
      <c r="L8" s="4"/>
      <c r="M8" s="4"/>
      <c r="N8" s="4"/>
      <c r="O8" s="4"/>
      <c r="P8" s="4"/>
      <c r="Q8" s="4"/>
      <c r="R8" s="4"/>
    </row>
    <row r="9" spans="1:28" ht="13.8" x14ac:dyDescent="0.3">
      <c r="A9" s="58" t="s">
        <v>28</v>
      </c>
      <c r="B9" s="10"/>
      <c r="C9" s="60"/>
      <c r="D9" s="4"/>
      <c r="E9" s="4"/>
      <c r="F9" s="4"/>
      <c r="G9" s="4"/>
      <c r="H9" s="4"/>
      <c r="I9" s="4"/>
      <c r="J9" s="4"/>
      <c r="K9" s="4"/>
      <c r="L9" s="4"/>
      <c r="M9" s="4"/>
      <c r="N9" s="4"/>
      <c r="O9" s="4"/>
      <c r="P9" s="4"/>
      <c r="Q9" s="4"/>
      <c r="R9" s="4"/>
    </row>
    <row r="10" spans="1:28" ht="13.8" x14ac:dyDescent="0.3">
      <c r="A10" s="58" t="s">
        <v>29</v>
      </c>
      <c r="B10" s="8" t="s">
        <v>30</v>
      </c>
      <c r="C10" s="59">
        <v>4.5</v>
      </c>
      <c r="D10" s="4"/>
      <c r="E10" s="4"/>
      <c r="F10" s="4"/>
      <c r="G10" s="4"/>
      <c r="H10" s="4"/>
      <c r="I10" s="4"/>
      <c r="J10" s="4"/>
      <c r="K10" s="4"/>
      <c r="L10" s="4"/>
      <c r="M10" s="4"/>
      <c r="N10" s="4"/>
      <c r="O10" s="4"/>
      <c r="P10" s="4"/>
      <c r="Q10" s="4"/>
      <c r="R10" s="4"/>
    </row>
    <row r="11" spans="1:28" ht="14.4" thickBot="1" x14ac:dyDescent="0.35">
      <c r="A11" s="61" t="s">
        <v>31</v>
      </c>
      <c r="B11" s="62" t="s">
        <v>32</v>
      </c>
      <c r="C11" s="63">
        <v>0.9</v>
      </c>
      <c r="D11" s="4"/>
      <c r="E11" s="173" t="s">
        <v>33</v>
      </c>
      <c r="F11" s="174"/>
      <c r="G11" s="175"/>
      <c r="H11" s="8" t="s">
        <v>34</v>
      </c>
      <c r="I11" s="11">
        <f>0.7*Atmosphere!E10*144*C11^2</f>
        <v>1199.8853999999999</v>
      </c>
      <c r="J11" s="4"/>
      <c r="K11" s="4"/>
      <c r="L11" s="4"/>
      <c r="M11" s="4"/>
      <c r="N11" s="4"/>
      <c r="O11" s="4"/>
      <c r="P11" s="4"/>
      <c r="Q11" s="4"/>
      <c r="R11" s="4"/>
    </row>
    <row r="12" spans="1:28" ht="13.8" x14ac:dyDescent="0.3">
      <c r="A12" s="4"/>
      <c r="B12" s="4"/>
      <c r="C12" s="4"/>
      <c r="D12" s="4"/>
      <c r="E12" s="4"/>
      <c r="F12" s="4"/>
      <c r="G12" s="4"/>
      <c r="H12" s="4"/>
      <c r="I12" s="4"/>
      <c r="J12" s="4"/>
      <c r="K12" s="4"/>
      <c r="L12" s="4"/>
      <c r="M12" s="4"/>
      <c r="N12" s="4"/>
      <c r="O12" s="4"/>
      <c r="P12" s="4"/>
      <c r="Q12" s="4"/>
      <c r="R12" s="4"/>
    </row>
    <row r="13" spans="1:28" ht="13.8" x14ac:dyDescent="0.3">
      <c r="A13" s="5" t="s">
        <v>35</v>
      </c>
      <c r="B13" s="4"/>
      <c r="C13" s="4"/>
      <c r="D13" s="4"/>
      <c r="E13" s="4"/>
      <c r="F13" s="4"/>
      <c r="G13" s="4"/>
      <c r="H13" s="4"/>
      <c r="I13" s="4"/>
      <c r="J13" s="4"/>
      <c r="K13" s="4"/>
      <c r="L13" s="4"/>
      <c r="M13" s="4"/>
      <c r="N13" s="4"/>
      <c r="O13" s="4"/>
      <c r="P13" s="4"/>
      <c r="Q13" s="4"/>
      <c r="R13" s="4"/>
      <c r="S13" s="4"/>
      <c r="T13" s="4"/>
      <c r="U13" s="4"/>
      <c r="V13" s="4"/>
      <c r="W13" s="4"/>
      <c r="X13" s="4"/>
      <c r="Y13" s="4"/>
      <c r="Z13" s="4"/>
      <c r="AA13" s="4"/>
      <c r="AB13" s="4"/>
    </row>
    <row r="14" spans="1:28" ht="13.8" x14ac:dyDescent="0.3">
      <c r="A14" s="5" t="s">
        <v>36</v>
      </c>
      <c r="B14" s="4"/>
      <c r="C14" s="4"/>
      <c r="D14" s="4"/>
      <c r="E14" s="4"/>
      <c r="F14" s="4"/>
      <c r="G14" s="4"/>
      <c r="H14" s="4"/>
      <c r="I14" s="4"/>
      <c r="J14" s="4"/>
      <c r="K14" s="4"/>
      <c r="L14" s="4"/>
      <c r="M14" s="4"/>
      <c r="N14" s="4"/>
      <c r="O14" s="4"/>
      <c r="P14" s="4"/>
      <c r="Q14" s="4"/>
      <c r="R14" s="4"/>
      <c r="S14" s="4"/>
      <c r="T14" s="4"/>
      <c r="U14" s="4"/>
      <c r="V14" s="4"/>
      <c r="W14" s="4"/>
      <c r="X14" s="4"/>
      <c r="Y14" s="4"/>
      <c r="Z14" s="4"/>
      <c r="AA14" s="4"/>
      <c r="AB14" s="4"/>
    </row>
    <row r="15" spans="1:28" ht="15" x14ac:dyDescent="0.35">
      <c r="A15" s="5" t="s">
        <v>685</v>
      </c>
      <c r="B15" s="4"/>
      <c r="C15" s="4"/>
      <c r="D15" s="4"/>
      <c r="E15" s="4"/>
      <c r="F15" s="4"/>
      <c r="G15" s="4"/>
      <c r="H15" s="3"/>
      <c r="I15" s="4"/>
      <c r="J15" s="4"/>
      <c r="K15" s="4"/>
      <c r="L15" s="4"/>
      <c r="M15" s="4"/>
      <c r="N15" s="4"/>
      <c r="O15" s="4"/>
      <c r="P15" s="4"/>
      <c r="Q15" s="4"/>
      <c r="R15" s="4"/>
      <c r="S15" s="4"/>
      <c r="T15" s="4"/>
      <c r="U15" s="4"/>
      <c r="V15" s="4"/>
      <c r="W15" s="4"/>
      <c r="X15" s="4"/>
      <c r="Y15" s="4"/>
      <c r="Z15" s="4"/>
      <c r="AA15" s="4"/>
      <c r="AB15" s="4"/>
    </row>
    <row r="16" spans="1:28" ht="13.8" x14ac:dyDescent="0.3">
      <c r="A16" s="5" t="s">
        <v>37</v>
      </c>
      <c r="B16" s="4"/>
      <c r="C16" s="4"/>
      <c r="D16" s="4"/>
      <c r="E16" s="4"/>
      <c r="F16" s="4"/>
      <c r="G16" s="4"/>
      <c r="H16" s="4"/>
      <c r="I16" s="4"/>
      <c r="J16" s="4"/>
      <c r="K16" s="4"/>
      <c r="L16" s="4"/>
      <c r="M16" s="4"/>
      <c r="N16" s="4"/>
      <c r="O16" s="4"/>
      <c r="P16" s="4"/>
      <c r="Q16" s="4"/>
      <c r="R16" s="4"/>
      <c r="S16" s="4"/>
      <c r="T16" s="4"/>
      <c r="U16" s="4"/>
      <c r="V16" s="4"/>
      <c r="W16" s="4"/>
      <c r="X16" s="4"/>
      <c r="Y16" s="4"/>
      <c r="Z16" s="4"/>
      <c r="AA16" s="4"/>
      <c r="AB16" s="4"/>
    </row>
    <row r="17" spans="1:28" ht="13.8" x14ac:dyDescent="0.3">
      <c r="A17" s="4"/>
      <c r="B17" s="4"/>
      <c r="C17" s="4"/>
      <c r="D17" s="4"/>
      <c r="E17" s="4"/>
      <c r="F17" s="4"/>
      <c r="G17" s="4"/>
      <c r="H17" s="4"/>
      <c r="I17" s="4"/>
      <c r="J17" s="4"/>
      <c r="K17" s="4"/>
      <c r="L17" s="4"/>
      <c r="M17" s="4"/>
      <c r="N17" s="4"/>
      <c r="O17" s="4"/>
      <c r="P17" s="4"/>
      <c r="Q17" s="4"/>
      <c r="R17" s="4"/>
      <c r="S17" s="4"/>
      <c r="T17" s="4"/>
      <c r="U17" s="4"/>
      <c r="V17" s="4"/>
      <c r="W17" s="4"/>
      <c r="X17" s="4"/>
      <c r="Y17" s="4"/>
      <c r="Z17" s="4"/>
      <c r="AA17" s="4"/>
      <c r="AB17" s="4"/>
    </row>
    <row r="18" spans="1:28" ht="13.8" x14ac:dyDescent="0.3">
      <c r="A18" s="2" t="s">
        <v>38</v>
      </c>
      <c r="B18" s="4"/>
      <c r="C18" s="4"/>
      <c r="D18" s="4"/>
      <c r="E18" s="2" t="s">
        <v>39</v>
      </c>
      <c r="F18" s="3"/>
      <c r="G18" s="4"/>
      <c r="H18" s="4"/>
      <c r="I18" s="4"/>
      <c r="J18" s="4"/>
      <c r="K18" s="2" t="s">
        <v>40</v>
      </c>
      <c r="L18" s="3"/>
      <c r="M18" s="4"/>
      <c r="N18" s="4"/>
      <c r="O18" s="4"/>
      <c r="P18" s="4"/>
      <c r="Q18" s="2" t="s">
        <v>41</v>
      </c>
      <c r="R18" s="4"/>
      <c r="S18" s="4"/>
      <c r="T18" s="4"/>
      <c r="U18" s="4"/>
      <c r="V18" s="4"/>
      <c r="W18" s="2" t="s">
        <v>42</v>
      </c>
      <c r="X18" s="4"/>
      <c r="Y18" s="4"/>
      <c r="Z18" s="4"/>
      <c r="AA18" s="4"/>
      <c r="AB18" s="4"/>
    </row>
    <row r="19" spans="1:28" ht="14.4" thickBot="1" x14ac:dyDescent="0.35">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row>
    <row r="20" spans="1:28" ht="13.8" x14ac:dyDescent="0.3">
      <c r="A20" s="55" t="s">
        <v>43</v>
      </c>
      <c r="B20" s="56" t="s">
        <v>44</v>
      </c>
      <c r="C20" s="64">
        <v>8</v>
      </c>
      <c r="D20" s="4"/>
      <c r="E20" s="68" t="s">
        <v>45</v>
      </c>
      <c r="F20" s="69"/>
      <c r="G20" s="70"/>
      <c r="H20" s="56" t="s">
        <v>46</v>
      </c>
      <c r="I20" s="64">
        <v>0.80089999999999995</v>
      </c>
      <c r="J20" s="4"/>
      <c r="K20" s="55" t="s">
        <v>45</v>
      </c>
      <c r="L20" s="74"/>
      <c r="M20" s="75"/>
      <c r="N20" s="56" t="s">
        <v>47</v>
      </c>
      <c r="O20" s="64">
        <v>9.0999999999999998E-2</v>
      </c>
      <c r="P20" s="4"/>
      <c r="Q20" s="180" t="s">
        <v>48</v>
      </c>
      <c r="R20" s="181"/>
      <c r="S20" s="182"/>
      <c r="T20" s="56" t="s">
        <v>49</v>
      </c>
      <c r="U20" s="64">
        <v>60</v>
      </c>
      <c r="V20" s="4"/>
      <c r="W20" s="180" t="s">
        <v>50</v>
      </c>
      <c r="X20" s="181"/>
      <c r="Y20" s="182"/>
      <c r="Z20" s="56" t="s">
        <v>51</v>
      </c>
      <c r="AA20" s="64">
        <v>2</v>
      </c>
      <c r="AB20" s="4"/>
    </row>
    <row r="21" spans="1:28" ht="13.8" x14ac:dyDescent="0.3">
      <c r="A21" s="58" t="s">
        <v>709</v>
      </c>
      <c r="B21" s="8" t="s">
        <v>53</v>
      </c>
      <c r="C21" s="65">
        <v>0.4</v>
      </c>
      <c r="D21" s="4"/>
      <c r="E21" s="58" t="s">
        <v>54</v>
      </c>
      <c r="F21" s="53"/>
      <c r="G21" s="53"/>
      <c r="H21" s="10"/>
      <c r="I21" s="66"/>
      <c r="J21" s="4"/>
      <c r="K21" s="58" t="s">
        <v>54</v>
      </c>
      <c r="L21" s="10"/>
      <c r="M21" s="10"/>
      <c r="N21" s="10"/>
      <c r="O21" s="66"/>
      <c r="P21" s="4"/>
      <c r="Q21" s="176" t="s">
        <v>55</v>
      </c>
      <c r="R21" s="174"/>
      <c r="S21" s="175"/>
      <c r="T21" s="8" t="s">
        <v>56</v>
      </c>
      <c r="U21" s="65">
        <v>8.83</v>
      </c>
      <c r="V21" s="4"/>
      <c r="W21" s="58" t="s">
        <v>57</v>
      </c>
      <c r="X21" s="53"/>
      <c r="Y21" s="53"/>
      <c r="Z21" s="8" t="s">
        <v>58</v>
      </c>
      <c r="AA21" s="65">
        <v>519</v>
      </c>
      <c r="AB21" s="4"/>
    </row>
    <row r="22" spans="1:28" ht="13.8" x14ac:dyDescent="0.3">
      <c r="A22" s="58" t="s">
        <v>708</v>
      </c>
      <c r="B22" s="8" t="s">
        <v>59</v>
      </c>
      <c r="C22" s="65">
        <v>0.1244</v>
      </c>
      <c r="D22" s="4"/>
      <c r="E22" s="176" t="s">
        <v>43</v>
      </c>
      <c r="F22" s="174"/>
      <c r="G22" s="175"/>
      <c r="H22" s="8" t="s">
        <v>60</v>
      </c>
      <c r="I22" s="65">
        <v>4</v>
      </c>
      <c r="J22" s="4"/>
      <c r="K22" s="176" t="s">
        <v>43</v>
      </c>
      <c r="L22" s="174"/>
      <c r="M22" s="175"/>
      <c r="N22" s="8" t="s">
        <v>61</v>
      </c>
      <c r="O22" s="65">
        <v>1.32</v>
      </c>
      <c r="P22" s="4"/>
      <c r="Q22" s="58" t="s">
        <v>62</v>
      </c>
      <c r="R22" s="53"/>
      <c r="S22" s="53"/>
      <c r="T22" s="8" t="s">
        <v>63</v>
      </c>
      <c r="U22" s="65">
        <v>8.83</v>
      </c>
      <c r="V22" s="4"/>
      <c r="W22" s="58" t="s">
        <v>64</v>
      </c>
      <c r="X22" s="53"/>
      <c r="Y22" s="53"/>
      <c r="Z22" s="8" t="s">
        <v>65</v>
      </c>
      <c r="AA22" s="65">
        <v>4.82</v>
      </c>
      <c r="AB22" s="4"/>
    </row>
    <row r="23" spans="1:28" ht="15" x14ac:dyDescent="0.35">
      <c r="A23" s="58" t="s">
        <v>710</v>
      </c>
      <c r="B23" s="8" t="s">
        <v>66</v>
      </c>
      <c r="C23" s="65">
        <v>30</v>
      </c>
      <c r="D23" s="4"/>
      <c r="E23" s="176" t="s">
        <v>67</v>
      </c>
      <c r="F23" s="174"/>
      <c r="G23" s="175"/>
      <c r="H23" s="8" t="s">
        <v>68</v>
      </c>
      <c r="I23" s="65">
        <v>0.1</v>
      </c>
      <c r="J23" s="4"/>
      <c r="K23" s="176" t="s">
        <v>67</v>
      </c>
      <c r="L23" s="174"/>
      <c r="M23" s="175"/>
      <c r="N23" s="8" t="s">
        <v>69</v>
      </c>
      <c r="O23" s="65">
        <v>0.1</v>
      </c>
      <c r="P23" s="4"/>
      <c r="Q23" s="176" t="s">
        <v>70</v>
      </c>
      <c r="R23" s="174"/>
      <c r="S23" s="175"/>
      <c r="T23" s="8" t="s">
        <v>71</v>
      </c>
      <c r="U23" s="65">
        <v>11.5</v>
      </c>
      <c r="V23" s="4"/>
      <c r="W23" s="82" t="s">
        <v>72</v>
      </c>
      <c r="X23" s="49"/>
      <c r="Y23" s="50"/>
      <c r="Z23" s="8" t="s">
        <v>73</v>
      </c>
      <c r="AA23" s="65">
        <v>56</v>
      </c>
      <c r="AB23" s="4"/>
    </row>
    <row r="24" spans="1:28" ht="14.4" thickBot="1" x14ac:dyDescent="0.35">
      <c r="A24" s="58" t="s">
        <v>74</v>
      </c>
      <c r="B24" s="8" t="s">
        <v>75</v>
      </c>
      <c r="C24" s="65">
        <v>0.35</v>
      </c>
      <c r="D24" s="4"/>
      <c r="E24" s="176" t="s">
        <v>52</v>
      </c>
      <c r="F24" s="174"/>
      <c r="G24" s="175"/>
      <c r="H24" s="8" t="s">
        <v>76</v>
      </c>
      <c r="I24" s="65">
        <v>0.315</v>
      </c>
      <c r="J24" s="4"/>
      <c r="K24" s="176" t="s">
        <v>52</v>
      </c>
      <c r="L24" s="174"/>
      <c r="M24" s="175"/>
      <c r="N24" s="8" t="s">
        <v>77</v>
      </c>
      <c r="O24" s="65">
        <v>0.42</v>
      </c>
      <c r="P24" s="9"/>
      <c r="Q24" s="58" t="s">
        <v>78</v>
      </c>
      <c r="R24" s="53"/>
      <c r="S24" s="53"/>
      <c r="T24" s="8" t="s">
        <v>79</v>
      </c>
      <c r="U24" s="65">
        <v>25.8</v>
      </c>
      <c r="V24" s="4"/>
      <c r="W24" s="61" t="s">
        <v>80</v>
      </c>
      <c r="X24" s="81"/>
      <c r="Y24" s="81"/>
      <c r="Z24" s="79"/>
      <c r="AA24" s="80"/>
      <c r="AB24" s="4"/>
    </row>
    <row r="25" spans="1:28" ht="13.8" x14ac:dyDescent="0.3">
      <c r="A25" s="58" t="s">
        <v>81</v>
      </c>
      <c r="B25" s="8" t="s">
        <v>82</v>
      </c>
      <c r="C25" s="65">
        <v>1.2</v>
      </c>
      <c r="D25" s="4"/>
      <c r="E25" s="176" t="s">
        <v>83</v>
      </c>
      <c r="F25" s="174"/>
      <c r="G25" s="175"/>
      <c r="H25" s="8" t="s">
        <v>84</v>
      </c>
      <c r="I25" s="71" t="s">
        <v>85</v>
      </c>
      <c r="J25" s="4"/>
      <c r="K25" s="58" t="s">
        <v>86</v>
      </c>
      <c r="L25" s="53"/>
      <c r="M25" s="53"/>
      <c r="N25" s="8" t="s">
        <v>87</v>
      </c>
      <c r="O25" s="65">
        <v>42</v>
      </c>
      <c r="P25" s="4"/>
      <c r="Q25" s="58" t="s">
        <v>88</v>
      </c>
      <c r="R25" s="53"/>
      <c r="S25" s="53"/>
      <c r="T25" s="8" t="s">
        <v>89</v>
      </c>
      <c r="U25" s="65">
        <v>0</v>
      </c>
      <c r="V25" s="4"/>
      <c r="W25" s="4"/>
      <c r="X25" s="4"/>
      <c r="Y25" s="4"/>
      <c r="Z25" s="4"/>
      <c r="AA25" s="4"/>
      <c r="AB25" s="4"/>
    </row>
    <row r="26" spans="1:28" ht="13.8" x14ac:dyDescent="0.3">
      <c r="A26" s="58" t="s">
        <v>90</v>
      </c>
      <c r="B26" s="10"/>
      <c r="C26" s="66"/>
      <c r="D26" s="4"/>
      <c r="E26" s="72" t="s">
        <v>91</v>
      </c>
      <c r="F26" s="51"/>
      <c r="G26" s="52"/>
      <c r="H26" s="8" t="s">
        <v>92</v>
      </c>
      <c r="I26" s="65">
        <v>28</v>
      </c>
      <c r="J26" s="4"/>
      <c r="K26" s="176" t="s">
        <v>93</v>
      </c>
      <c r="L26" s="174"/>
      <c r="M26" s="175"/>
      <c r="N26" s="8" t="s">
        <v>94</v>
      </c>
      <c r="O26" s="65">
        <v>25.34</v>
      </c>
      <c r="P26" s="4"/>
      <c r="Q26" s="58" t="s">
        <v>95</v>
      </c>
      <c r="R26" s="53"/>
      <c r="S26" s="53"/>
      <c r="T26" s="8" t="s">
        <v>96</v>
      </c>
      <c r="U26" s="71" t="s">
        <v>97</v>
      </c>
      <c r="V26" s="4"/>
      <c r="W26" s="4"/>
      <c r="X26" s="4"/>
      <c r="Y26" s="4"/>
      <c r="Z26" s="4"/>
      <c r="AA26" s="4"/>
      <c r="AB26" s="4"/>
    </row>
    <row r="27" spans="1:28" ht="14.4" thickBot="1" x14ac:dyDescent="0.35">
      <c r="A27" s="61" t="s">
        <v>98</v>
      </c>
      <c r="B27" s="62" t="s">
        <v>99</v>
      </c>
      <c r="C27" s="67" t="s">
        <v>97</v>
      </c>
      <c r="D27" s="4"/>
      <c r="E27" s="177" t="s">
        <v>93</v>
      </c>
      <c r="F27" s="178"/>
      <c r="G27" s="179"/>
      <c r="H27" s="62" t="s">
        <v>100</v>
      </c>
      <c r="I27" s="73">
        <v>30</v>
      </c>
      <c r="J27" s="4"/>
      <c r="K27" s="176" t="s">
        <v>101</v>
      </c>
      <c r="L27" s="174"/>
      <c r="M27" s="175"/>
      <c r="N27" s="8" t="s">
        <v>102</v>
      </c>
      <c r="O27" s="65">
        <v>1</v>
      </c>
      <c r="P27" s="4"/>
      <c r="Q27" s="58" t="s">
        <v>103</v>
      </c>
      <c r="R27" s="53"/>
      <c r="S27" s="53"/>
      <c r="T27" s="8" t="s">
        <v>104</v>
      </c>
      <c r="U27" s="71" t="s">
        <v>85</v>
      </c>
      <c r="V27" s="4"/>
      <c r="W27" s="4"/>
      <c r="X27" s="4"/>
      <c r="Y27" s="4"/>
      <c r="Z27" s="4"/>
      <c r="AA27" s="4"/>
      <c r="AB27" s="4"/>
    </row>
    <row r="28" spans="1:28" ht="13.8" x14ac:dyDescent="0.3">
      <c r="A28" s="4"/>
      <c r="B28" s="4"/>
      <c r="C28" s="4"/>
      <c r="D28" s="4"/>
      <c r="E28" s="4"/>
      <c r="F28" s="4"/>
      <c r="G28" s="4"/>
      <c r="H28" s="4"/>
      <c r="I28" s="4"/>
      <c r="J28" s="4"/>
      <c r="K28" s="58" t="s">
        <v>105</v>
      </c>
      <c r="L28" s="53"/>
      <c r="M28" s="53"/>
      <c r="N28" s="10"/>
      <c r="O28" s="66"/>
      <c r="P28" s="4"/>
      <c r="Q28" s="176" t="s">
        <v>106</v>
      </c>
      <c r="R28" s="174"/>
      <c r="S28" s="175"/>
      <c r="T28" s="8" t="s">
        <v>107</v>
      </c>
      <c r="U28" s="71" t="s">
        <v>97</v>
      </c>
      <c r="V28" s="4"/>
      <c r="W28" s="4"/>
      <c r="X28" s="4"/>
      <c r="Y28" s="4"/>
      <c r="Z28" s="4"/>
      <c r="AA28" s="4"/>
      <c r="AB28" s="4"/>
    </row>
    <row r="29" spans="1:28" ht="14.4" thickBot="1" x14ac:dyDescent="0.35">
      <c r="A29" s="4"/>
      <c r="B29" s="4"/>
      <c r="C29" s="4"/>
      <c r="D29" s="4"/>
      <c r="E29" s="4"/>
      <c r="F29" s="4"/>
      <c r="G29" s="4"/>
      <c r="H29" s="4"/>
      <c r="I29" s="4"/>
      <c r="J29" s="4"/>
      <c r="K29" s="76" t="s">
        <v>108</v>
      </c>
      <c r="L29" s="77"/>
      <c r="M29" s="78"/>
      <c r="N29" s="79"/>
      <c r="O29" s="80"/>
      <c r="P29" s="4"/>
      <c r="Q29" s="177" t="s">
        <v>109</v>
      </c>
      <c r="R29" s="178"/>
      <c r="S29" s="179"/>
      <c r="T29" s="62" t="s">
        <v>110</v>
      </c>
      <c r="U29" s="67" t="s">
        <v>97</v>
      </c>
      <c r="V29" s="4"/>
      <c r="W29" s="4"/>
      <c r="X29" s="4"/>
      <c r="Y29" s="4"/>
      <c r="Z29" s="4"/>
      <c r="AA29" s="4"/>
      <c r="AB29" s="4"/>
    </row>
    <row r="30" spans="1:28" ht="13.8" x14ac:dyDescent="0.3">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row>
    <row r="31" spans="1:28" ht="13.8" x14ac:dyDescent="0.3">
      <c r="A31" s="5" t="s">
        <v>111</v>
      </c>
      <c r="B31" s="4"/>
      <c r="C31" s="4"/>
      <c r="D31" s="4"/>
      <c r="E31" s="4"/>
      <c r="F31" s="4"/>
      <c r="G31" s="4"/>
      <c r="H31" s="4"/>
      <c r="I31" s="4"/>
      <c r="J31" s="4"/>
      <c r="K31" s="4"/>
      <c r="L31" s="4"/>
      <c r="M31" s="4"/>
      <c r="N31" s="4"/>
      <c r="O31" s="4"/>
      <c r="P31" s="4"/>
      <c r="Q31" s="4"/>
      <c r="R31" s="4"/>
      <c r="S31" s="4"/>
      <c r="T31" s="4"/>
      <c r="U31" s="4"/>
      <c r="V31" s="4"/>
      <c r="W31" s="4"/>
      <c r="X31" s="4"/>
      <c r="Y31" s="4"/>
      <c r="Z31" s="4"/>
      <c r="AA31" s="4"/>
      <c r="AB31" s="4"/>
    </row>
    <row r="32" spans="1:28" ht="15" x14ac:dyDescent="0.35">
      <c r="A32" s="5" t="s">
        <v>715</v>
      </c>
      <c r="B32" s="4"/>
      <c r="C32" s="4"/>
      <c r="D32" s="4"/>
      <c r="E32" s="4"/>
      <c r="F32" s="4"/>
      <c r="G32" s="4"/>
      <c r="H32" s="4"/>
      <c r="I32" s="4"/>
      <c r="J32" s="4"/>
      <c r="K32" s="4"/>
      <c r="L32" s="4"/>
      <c r="M32" s="4"/>
      <c r="N32" s="4"/>
      <c r="O32" s="4"/>
      <c r="P32" s="4"/>
      <c r="Q32" s="4"/>
      <c r="R32" s="4"/>
      <c r="S32" s="4"/>
      <c r="T32" s="4"/>
      <c r="U32" s="4"/>
      <c r="V32" s="4"/>
      <c r="W32" s="4"/>
      <c r="X32" s="4"/>
      <c r="Y32" s="4"/>
      <c r="Z32" s="4"/>
      <c r="AA32" s="4"/>
      <c r="AB32" s="4"/>
    </row>
    <row r="33" spans="1:28" ht="13.8" x14ac:dyDescent="0.3">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row>
    <row r="34" spans="1:28" ht="14.4" thickBot="1" x14ac:dyDescent="0.35">
      <c r="A34" s="2" t="s">
        <v>112</v>
      </c>
      <c r="B34" s="4"/>
      <c r="C34" s="4"/>
      <c r="D34" s="4"/>
      <c r="E34" s="2" t="s">
        <v>112</v>
      </c>
      <c r="F34" s="3"/>
      <c r="G34" s="4"/>
      <c r="H34" s="4"/>
      <c r="I34" s="4"/>
      <c r="J34" s="4"/>
      <c r="K34" s="2" t="s">
        <v>112</v>
      </c>
      <c r="L34" s="3"/>
      <c r="M34" s="4"/>
      <c r="N34" s="4"/>
      <c r="O34" s="4"/>
      <c r="P34" s="4"/>
      <c r="Q34" s="2" t="s">
        <v>112</v>
      </c>
      <c r="R34" s="3"/>
      <c r="S34" s="4"/>
      <c r="T34" s="4"/>
      <c r="U34" s="4"/>
      <c r="V34" s="4"/>
      <c r="W34" s="2" t="s">
        <v>112</v>
      </c>
      <c r="X34" s="3"/>
      <c r="Y34" s="4"/>
      <c r="Z34" s="4"/>
      <c r="AA34" s="4"/>
      <c r="AB34" s="4"/>
    </row>
    <row r="35" spans="1:28" ht="13.8" x14ac:dyDescent="0.3">
      <c r="A35" s="8" t="s">
        <v>113</v>
      </c>
      <c r="B35" s="8" t="s">
        <v>114</v>
      </c>
      <c r="C35" s="12">
        <f>TOGW/WOS</f>
        <v>792.50453415527352</v>
      </c>
      <c r="D35" s="4"/>
      <c r="E35" s="180" t="s">
        <v>115</v>
      </c>
      <c r="F35" s="181"/>
      <c r="G35" s="182"/>
      <c r="H35" s="56" t="s">
        <v>116</v>
      </c>
      <c r="I35" s="83">
        <f>VHBAR*MAC*SREF/LHT</f>
        <v>223.47139625830749</v>
      </c>
      <c r="J35" s="4"/>
      <c r="K35" s="180" t="s">
        <v>115</v>
      </c>
      <c r="L35" s="181"/>
      <c r="M35" s="182"/>
      <c r="N35" s="56" t="s">
        <v>117</v>
      </c>
      <c r="O35" s="83">
        <f>O20*C36*C35/O26</f>
        <v>226.61174169371066</v>
      </c>
      <c r="P35" s="4"/>
      <c r="Q35" s="55" t="s">
        <v>118</v>
      </c>
      <c r="R35" s="87"/>
      <c r="S35" s="87"/>
      <c r="T35" s="56" t="s">
        <v>119</v>
      </c>
      <c r="U35" s="88">
        <f>(U21+U22)/2</f>
        <v>8.83</v>
      </c>
      <c r="V35" s="4"/>
      <c r="W35" s="180" t="s">
        <v>120</v>
      </c>
      <c r="X35" s="181"/>
      <c r="Y35" s="182"/>
      <c r="Z35" s="56" t="s">
        <v>121</v>
      </c>
      <c r="AA35" s="88">
        <f>Propulsion!C18/AA21</f>
        <v>18.323804257925399</v>
      </c>
      <c r="AB35" s="4"/>
    </row>
    <row r="36" spans="1:28" ht="13.8" x14ac:dyDescent="0.3">
      <c r="A36" s="8" t="s">
        <v>122</v>
      </c>
      <c r="B36" s="8" t="s">
        <v>123</v>
      </c>
      <c r="C36" s="12">
        <f>SQRT(AR*SREF)</f>
        <v>79.624344727238963</v>
      </c>
      <c r="D36" s="4"/>
      <c r="E36" s="176" t="s">
        <v>124</v>
      </c>
      <c r="F36" s="174"/>
      <c r="G36" s="175"/>
      <c r="H36" s="8" t="s">
        <v>125</v>
      </c>
      <c r="I36" s="84">
        <f>2*1.05*I35</f>
        <v>469.28993214244576</v>
      </c>
      <c r="J36" s="4"/>
      <c r="K36" s="176" t="s">
        <v>124</v>
      </c>
      <c r="L36" s="174"/>
      <c r="M36" s="175"/>
      <c r="N36" s="8" t="s">
        <v>126</v>
      </c>
      <c r="O36" s="84">
        <f>2*1.05*O35</f>
        <v>475.88465755679238</v>
      </c>
      <c r="P36" s="4"/>
      <c r="Q36" s="58" t="s">
        <v>127</v>
      </c>
      <c r="R36" s="53"/>
      <c r="S36" s="53"/>
      <c r="T36" s="8" t="s">
        <v>128</v>
      </c>
      <c r="U36" s="89">
        <f>U35^2/(8*U23)</f>
        <v>0.8474880434782609</v>
      </c>
      <c r="V36" s="4"/>
      <c r="W36" s="176" t="s">
        <v>129</v>
      </c>
      <c r="X36" s="174"/>
      <c r="Y36" s="175"/>
      <c r="Z36" s="8" t="s">
        <v>130</v>
      </c>
      <c r="AA36" s="89">
        <f>SQRT(4*AA35/PI())</f>
        <v>4.8301751718935799</v>
      </c>
      <c r="AB36" s="4"/>
    </row>
    <row r="37" spans="1:28" ht="13.8" x14ac:dyDescent="0.3">
      <c r="A37" s="8" t="s">
        <v>131</v>
      </c>
      <c r="B37" s="8" t="s">
        <v>132</v>
      </c>
      <c r="C37" s="12">
        <f>2*C36/C20/(1+C21)</f>
        <v>14.218632987006959</v>
      </c>
      <c r="D37" s="4"/>
      <c r="E37" s="176" t="s">
        <v>133</v>
      </c>
      <c r="F37" s="174"/>
      <c r="G37" s="175"/>
      <c r="H37" s="8" t="s">
        <v>134</v>
      </c>
      <c r="I37" s="84">
        <f>SQRT(I22*I35)</f>
        <v>29.897919409772147</v>
      </c>
      <c r="J37" s="4"/>
      <c r="K37" s="176" t="s">
        <v>135</v>
      </c>
      <c r="L37" s="174"/>
      <c r="M37" s="175"/>
      <c r="N37" s="8" t="s">
        <v>136</v>
      </c>
      <c r="O37" s="84">
        <f>SQRT(O22*O35)</f>
        <v>17.295302802659979</v>
      </c>
      <c r="P37" s="4"/>
      <c r="Q37" s="176" t="s">
        <v>137</v>
      </c>
      <c r="R37" s="174"/>
      <c r="S37" s="175"/>
      <c r="T37" s="8" t="s">
        <v>138</v>
      </c>
      <c r="U37" s="84">
        <f>0.667*PI()/U36*(SQRT((U35^2/4+U36^2)^3)-U36^3)</f>
        <v>223.14499509068639</v>
      </c>
      <c r="V37" s="4"/>
      <c r="W37" s="176" t="s">
        <v>139</v>
      </c>
      <c r="X37" s="174"/>
      <c r="Y37" s="175"/>
      <c r="Z37" s="8" t="s">
        <v>140</v>
      </c>
      <c r="AA37" s="89">
        <f>Propulsion!C18^0.4/AA22</f>
        <v>8.0951735226349992</v>
      </c>
      <c r="AB37" s="4"/>
    </row>
    <row r="38" spans="1:28" ht="13.8" x14ac:dyDescent="0.3">
      <c r="A38" s="8" t="s">
        <v>141</v>
      </c>
      <c r="B38" s="8" t="s">
        <v>142</v>
      </c>
      <c r="C38" s="12">
        <f>C37*C21</f>
        <v>5.6874531948027842</v>
      </c>
      <c r="D38" s="4"/>
      <c r="E38" s="176" t="s">
        <v>143</v>
      </c>
      <c r="F38" s="174"/>
      <c r="G38" s="175"/>
      <c r="H38" s="8" t="s">
        <v>144</v>
      </c>
      <c r="I38" s="84">
        <f>2*I37/I22/(1+I24)</f>
        <v>11.368030193829714</v>
      </c>
      <c r="J38" s="4"/>
      <c r="K38" s="176" t="s">
        <v>143</v>
      </c>
      <c r="L38" s="174"/>
      <c r="M38" s="175"/>
      <c r="N38" s="8" t="s">
        <v>145</v>
      </c>
      <c r="O38" s="84">
        <f>2*O35/O37/(1+O24)</f>
        <v>18.454228342573597</v>
      </c>
      <c r="P38" s="4"/>
      <c r="Q38" s="58" t="s">
        <v>146</v>
      </c>
      <c r="R38" s="53"/>
      <c r="S38" s="53"/>
      <c r="T38" s="8" t="s">
        <v>147</v>
      </c>
      <c r="U38" s="84">
        <f>PI()*U35*U24</f>
        <v>715.69878878490522</v>
      </c>
      <c r="V38" s="4"/>
      <c r="W38" s="176" t="s">
        <v>148</v>
      </c>
      <c r="X38" s="174"/>
      <c r="Y38" s="175"/>
      <c r="Z38" s="8" t="s">
        <v>149</v>
      </c>
      <c r="AA38" s="89">
        <f>PI()*AA36*AA37</f>
        <v>122.83974786326638</v>
      </c>
      <c r="AB38" s="4"/>
    </row>
    <row r="39" spans="1:28" ht="13.8" x14ac:dyDescent="0.3">
      <c r="A39" s="8" t="s">
        <v>150</v>
      </c>
      <c r="B39" s="8" t="s">
        <v>151</v>
      </c>
      <c r="C39" s="12">
        <f>C37-(C37-C38)*U22/(C36/2)</f>
        <v>12.326490129864101</v>
      </c>
      <c r="D39" s="4"/>
      <c r="E39" s="176" t="s">
        <v>152</v>
      </c>
      <c r="F39" s="174"/>
      <c r="G39" s="175"/>
      <c r="H39" s="8" t="s">
        <v>153</v>
      </c>
      <c r="I39" s="84">
        <f>I23*I38</f>
        <v>1.1368030193829715</v>
      </c>
      <c r="J39" s="4"/>
      <c r="K39" s="176" t="s">
        <v>152</v>
      </c>
      <c r="L39" s="174"/>
      <c r="M39" s="175"/>
      <c r="N39" s="8" t="s">
        <v>154</v>
      </c>
      <c r="O39" s="84">
        <f>O38*O23</f>
        <v>1.8454228342573598</v>
      </c>
      <c r="P39" s="4"/>
      <c r="Q39" s="58" t="s">
        <v>155</v>
      </c>
      <c r="R39" s="53"/>
      <c r="S39" s="53"/>
      <c r="T39" s="8" t="s">
        <v>156</v>
      </c>
      <c r="U39" s="84">
        <f>SQRT((U35-U25)^2/4+(U20-U24)^2)</f>
        <v>34.483796557223798</v>
      </c>
      <c r="V39" s="4"/>
      <c r="W39" s="176" t="s">
        <v>157</v>
      </c>
      <c r="X39" s="174"/>
      <c r="Y39" s="175"/>
      <c r="Z39" s="8" t="s">
        <v>158</v>
      </c>
      <c r="AA39" s="89">
        <f>AA20*(AA38+AA23)</f>
        <v>357.67949572653276</v>
      </c>
      <c r="AB39" s="4"/>
    </row>
    <row r="40" spans="1:28" ht="14.4" thickBot="1" x14ac:dyDescent="0.35">
      <c r="A40" s="8" t="s">
        <v>159</v>
      </c>
      <c r="B40" s="8" t="s">
        <v>160</v>
      </c>
      <c r="C40" s="13">
        <f>C39*C22</f>
        <v>1.5334153721550943</v>
      </c>
      <c r="D40" s="4"/>
      <c r="E40" s="58" t="s">
        <v>161</v>
      </c>
      <c r="F40" s="53"/>
      <c r="G40" s="53"/>
      <c r="H40" s="8" t="s">
        <v>162</v>
      </c>
      <c r="I40" s="84">
        <f>2/3*I38*(1+I24+I24^2)/(1+I24)</f>
        <v>8.150546261530458</v>
      </c>
      <c r="J40" s="4"/>
      <c r="K40" s="176" t="s">
        <v>163</v>
      </c>
      <c r="L40" s="174"/>
      <c r="M40" s="175"/>
      <c r="N40" s="8" t="s">
        <v>164</v>
      </c>
      <c r="O40" s="84">
        <f>2/3*O38*(1+O24+O24^2)/(1+O24)</f>
        <v>13.831140904265018</v>
      </c>
      <c r="P40" s="4"/>
      <c r="Q40" s="58" t="s">
        <v>165</v>
      </c>
      <c r="R40" s="53"/>
      <c r="S40" s="53"/>
      <c r="T40" s="8" t="s">
        <v>166</v>
      </c>
      <c r="U40" s="84">
        <f>PI()*U39*(U35+U25)/2</f>
        <v>478.29479513004173</v>
      </c>
      <c r="V40" s="4"/>
      <c r="W40" s="61" t="s">
        <v>167</v>
      </c>
      <c r="X40" s="81"/>
      <c r="Y40" s="81"/>
      <c r="Z40" s="79"/>
      <c r="AA40" s="90"/>
      <c r="AB40" s="4"/>
    </row>
    <row r="41" spans="1:28" ht="14.4" thickBot="1" x14ac:dyDescent="0.35">
      <c r="A41" s="8" t="s">
        <v>168</v>
      </c>
      <c r="B41" s="8" t="s">
        <v>169</v>
      </c>
      <c r="C41" s="12">
        <f>(C37+C39)/2*U22</f>
        <v>117.19671856098573</v>
      </c>
      <c r="D41" s="4"/>
      <c r="E41" s="61" t="s">
        <v>170</v>
      </c>
      <c r="F41" s="81"/>
      <c r="G41" s="81"/>
      <c r="H41" s="62" t="s">
        <v>171</v>
      </c>
      <c r="I41" s="85">
        <f>IF(I25="Y",1,1.1)</f>
        <v>1</v>
      </c>
      <c r="J41" s="4"/>
      <c r="K41" s="58" t="s">
        <v>172</v>
      </c>
      <c r="L41" s="53"/>
      <c r="M41" s="53"/>
      <c r="N41" s="8" t="s">
        <v>173</v>
      </c>
      <c r="O41" s="84">
        <f>0.3*O35</f>
        <v>67.983522508113197</v>
      </c>
      <c r="P41" s="4"/>
      <c r="Q41" s="176" t="s">
        <v>174</v>
      </c>
      <c r="R41" s="174"/>
      <c r="S41" s="175"/>
      <c r="T41" s="8" t="s">
        <v>175</v>
      </c>
      <c r="U41" s="84">
        <f>PI()*C40*C39/2</f>
        <v>29.690610110265226</v>
      </c>
      <c r="V41" s="4"/>
      <c r="W41" s="4"/>
      <c r="X41" s="4"/>
      <c r="Y41" s="4"/>
      <c r="Z41" s="4"/>
      <c r="AA41" s="4"/>
      <c r="AB41" s="4"/>
    </row>
    <row r="42" spans="1:28" ht="14.4" thickBot="1" x14ac:dyDescent="0.35">
      <c r="A42" s="8" t="s">
        <v>176</v>
      </c>
      <c r="B42" s="8" t="s">
        <v>177</v>
      </c>
      <c r="C42" s="12">
        <f>2*(C35-C41)*1.05</f>
        <v>1418.1464127480044</v>
      </c>
      <c r="D42" s="4"/>
      <c r="E42" s="4"/>
      <c r="F42" s="4"/>
      <c r="G42" s="4"/>
      <c r="H42" s="4"/>
      <c r="I42" s="4"/>
      <c r="J42" s="4"/>
      <c r="K42" s="177" t="s">
        <v>750</v>
      </c>
      <c r="L42" s="178"/>
      <c r="M42" s="179"/>
      <c r="N42" s="62" t="s">
        <v>182</v>
      </c>
      <c r="O42" s="85">
        <f>1+0.15*I35*O27/O35</f>
        <v>1.1479213265306123</v>
      </c>
      <c r="P42" s="4"/>
      <c r="Q42" s="58" t="s">
        <v>178</v>
      </c>
      <c r="R42" s="53"/>
      <c r="S42" s="53"/>
      <c r="T42" s="8" t="s">
        <v>179</v>
      </c>
      <c r="U42" s="84">
        <f>PI()*I38*I39/2</f>
        <v>20.299732445822624</v>
      </c>
      <c r="V42" s="4"/>
      <c r="W42" s="4"/>
      <c r="X42" s="4"/>
      <c r="Y42" s="4"/>
      <c r="Z42" s="4"/>
      <c r="AA42" s="4"/>
      <c r="AB42" s="4"/>
    </row>
    <row r="43" spans="1:28" ht="13.8" x14ac:dyDescent="0.3">
      <c r="A43" s="8" t="s">
        <v>180</v>
      </c>
      <c r="B43" s="8" t="s">
        <v>181</v>
      </c>
      <c r="C43" s="12">
        <f>2/3*C37*(1+C21+C21^2)/(1+C21)</f>
        <v>10.562413076062311</v>
      </c>
      <c r="D43" s="4"/>
      <c r="E43" s="4"/>
      <c r="F43" s="4"/>
      <c r="G43" s="4"/>
      <c r="H43" s="4"/>
      <c r="I43" s="4"/>
      <c r="J43" s="4"/>
      <c r="P43" s="4"/>
      <c r="Q43" s="176" t="s">
        <v>183</v>
      </c>
      <c r="R43" s="174"/>
      <c r="S43" s="175"/>
      <c r="T43" s="8" t="s">
        <v>184</v>
      </c>
      <c r="U43" s="84">
        <f>PI()*O38*O39/4</f>
        <v>26.747405476687714</v>
      </c>
      <c r="V43" s="4"/>
      <c r="W43" s="4"/>
      <c r="X43" s="4"/>
      <c r="Y43" s="4"/>
      <c r="Z43" s="4"/>
      <c r="AA43" s="4"/>
      <c r="AB43" s="4"/>
    </row>
    <row r="44" spans="1:28" ht="13.8" x14ac:dyDescent="0.3">
      <c r="A44" s="8" t="s">
        <v>185</v>
      </c>
      <c r="B44" s="8" t="s">
        <v>186</v>
      </c>
      <c r="C44" s="13">
        <f>57.3*ATAN(TAN(C23/57.3)-(C37-C38)/C36)</f>
        <v>25.182699492896351</v>
      </c>
      <c r="D44" s="4"/>
      <c r="E44" s="4"/>
      <c r="F44" s="4"/>
      <c r="G44" s="4"/>
      <c r="H44" s="4"/>
      <c r="I44" s="4"/>
      <c r="J44" s="4"/>
      <c r="K44" s="5" t="s">
        <v>15</v>
      </c>
      <c r="L44" s="4"/>
      <c r="M44" s="4"/>
      <c r="N44" s="5" t="s">
        <v>15</v>
      </c>
      <c r="O44" s="4"/>
      <c r="P44" s="4"/>
      <c r="Q44" s="58" t="s">
        <v>187</v>
      </c>
      <c r="R44" s="53"/>
      <c r="S44" s="53"/>
      <c r="T44" s="8" t="s">
        <v>188</v>
      </c>
      <c r="U44" s="84">
        <f>U37+U38+U40-(U41+U42+U43)</f>
        <v>1340.4008309728579</v>
      </c>
      <c r="V44" s="4"/>
      <c r="W44" s="4"/>
      <c r="X44" s="4"/>
      <c r="Y44" s="4"/>
      <c r="Z44" s="4"/>
      <c r="AA44" s="4"/>
      <c r="AB44" s="4"/>
    </row>
    <row r="45" spans="1:28" ht="13.8" x14ac:dyDescent="0.3">
      <c r="A45" s="8" t="s">
        <v>189</v>
      </c>
      <c r="B45" s="8" t="s">
        <v>190</v>
      </c>
      <c r="C45" s="11">
        <f>IF(C24&lt;0.3,2,1.2)</f>
        <v>1.2</v>
      </c>
      <c r="D45" s="4"/>
      <c r="E45" s="4"/>
      <c r="F45" s="4"/>
      <c r="G45" s="4"/>
      <c r="H45" s="4"/>
      <c r="I45" s="4"/>
      <c r="J45" s="4"/>
      <c r="K45" s="4"/>
      <c r="L45" s="4"/>
      <c r="M45" s="4"/>
      <c r="N45" s="4"/>
      <c r="O45" s="4"/>
      <c r="P45" s="4"/>
      <c r="Q45" s="58" t="s">
        <v>191</v>
      </c>
      <c r="R45" s="53"/>
      <c r="S45" s="53"/>
      <c r="T45" s="8" t="s">
        <v>192</v>
      </c>
      <c r="U45" s="89">
        <f>IF(U26="y",1.25,1)</f>
        <v>1</v>
      </c>
      <c r="V45" s="4"/>
      <c r="W45" s="4"/>
      <c r="X45" s="4"/>
      <c r="Y45" s="4"/>
      <c r="Z45" s="4"/>
      <c r="AA45" s="4"/>
      <c r="AB45" s="4"/>
    </row>
    <row r="46" spans="1:28" ht="13.8" x14ac:dyDescent="0.3">
      <c r="A46" s="8" t="s">
        <v>193</v>
      </c>
      <c r="B46" s="10"/>
      <c r="C46" s="10"/>
      <c r="D46" s="4"/>
      <c r="E46" s="4"/>
      <c r="F46" s="4"/>
      <c r="G46" s="4"/>
      <c r="H46" s="4"/>
      <c r="I46" s="4"/>
      <c r="J46" s="4"/>
      <c r="K46" s="4"/>
      <c r="L46" s="4"/>
      <c r="M46" s="4"/>
      <c r="N46" s="4"/>
      <c r="O46" s="4"/>
      <c r="P46" s="4"/>
      <c r="Q46" s="176" t="s">
        <v>749</v>
      </c>
      <c r="R46" s="174"/>
      <c r="S46" s="175"/>
      <c r="T46" s="8" t="s">
        <v>194</v>
      </c>
      <c r="U46" s="89">
        <f>IF(U27="y",1.08,1)</f>
        <v>1.08</v>
      </c>
      <c r="V46" s="4"/>
      <c r="W46" s="4"/>
      <c r="X46" s="4"/>
      <c r="Y46" s="4"/>
      <c r="Z46" s="4"/>
      <c r="AA46" s="4"/>
      <c r="AB46" s="4"/>
    </row>
    <row r="47" spans="1:28" ht="13.8" x14ac:dyDescent="0.3">
      <c r="A47" s="8" t="s">
        <v>195</v>
      </c>
      <c r="B47" s="8" t="s">
        <v>196</v>
      </c>
      <c r="C47" s="11">
        <f>IF(C27="Y",1.175,1)</f>
        <v>1</v>
      </c>
      <c r="D47" s="4"/>
      <c r="E47" s="4"/>
      <c r="F47" s="4"/>
      <c r="G47" s="4"/>
      <c r="H47" s="4"/>
      <c r="I47" s="4"/>
      <c r="J47" s="4"/>
      <c r="K47" s="4"/>
      <c r="L47" s="4"/>
      <c r="M47" s="4"/>
      <c r="N47" s="4"/>
      <c r="O47" s="4"/>
      <c r="P47" s="4"/>
      <c r="Q47" s="176" t="s">
        <v>197</v>
      </c>
      <c r="R47" s="174"/>
      <c r="S47" s="175"/>
      <c r="T47" s="8" t="s">
        <v>198</v>
      </c>
      <c r="U47" s="89">
        <f>IF(U28="y",1.07,1)</f>
        <v>1</v>
      </c>
      <c r="V47" s="4"/>
      <c r="W47" s="4"/>
      <c r="X47" s="4"/>
      <c r="Y47" s="4"/>
      <c r="Z47" s="4"/>
      <c r="AA47" s="4"/>
      <c r="AB47" s="4"/>
    </row>
    <row r="48" spans="1:28" ht="14.4" thickBot="1" x14ac:dyDescent="0.35">
      <c r="A48" s="8" t="s">
        <v>199</v>
      </c>
      <c r="B48" s="10"/>
      <c r="C48" s="10"/>
      <c r="D48" s="4"/>
      <c r="E48" s="4"/>
      <c r="F48" s="4"/>
      <c r="G48" s="4"/>
      <c r="H48" s="4"/>
      <c r="I48" s="4"/>
      <c r="J48" s="4"/>
      <c r="K48" s="4"/>
      <c r="L48" s="4"/>
      <c r="M48" s="4"/>
      <c r="N48" s="4"/>
      <c r="O48" s="4"/>
      <c r="P48" s="4"/>
      <c r="Q48" s="177" t="s">
        <v>200</v>
      </c>
      <c r="R48" s="178"/>
      <c r="S48" s="179"/>
      <c r="T48" s="62" t="s">
        <v>201</v>
      </c>
      <c r="U48" s="85">
        <f>IF(U29="y",1.1,1)</f>
        <v>1</v>
      </c>
      <c r="V48" s="4"/>
      <c r="W48" s="4"/>
      <c r="X48" s="4"/>
      <c r="Y48" s="4"/>
      <c r="Z48" s="4"/>
      <c r="AA48" s="4"/>
      <c r="AB48" s="4"/>
    </row>
    <row r="49" spans="1:28" ht="13.8" x14ac:dyDescent="0.3">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row>
    <row r="50" spans="1:28" ht="13.8" x14ac:dyDescent="0.3">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row>
    <row r="51" spans="1:28" ht="13.8" x14ac:dyDescent="0.3">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row>
  </sheetData>
  <mergeCells count="41">
    <mergeCell ref="E3:G3"/>
    <mergeCell ref="E27:G27"/>
    <mergeCell ref="K22:M22"/>
    <mergeCell ref="K23:M23"/>
    <mergeCell ref="K24:M24"/>
    <mergeCell ref="K26:M26"/>
    <mergeCell ref="K27:M27"/>
    <mergeCell ref="E22:G22"/>
    <mergeCell ref="E24:G24"/>
    <mergeCell ref="E25:G25"/>
    <mergeCell ref="E23:G23"/>
    <mergeCell ref="E11:G11"/>
    <mergeCell ref="E35:G35"/>
    <mergeCell ref="E36:G36"/>
    <mergeCell ref="E37:G37"/>
    <mergeCell ref="E38:G38"/>
    <mergeCell ref="E39:G39"/>
    <mergeCell ref="W20:Y20"/>
    <mergeCell ref="Q37:S37"/>
    <mergeCell ref="Q41:S41"/>
    <mergeCell ref="Q43:S43"/>
    <mergeCell ref="K40:M40"/>
    <mergeCell ref="K42:M42"/>
    <mergeCell ref="Q20:S20"/>
    <mergeCell ref="Q21:S21"/>
    <mergeCell ref="Q23:S23"/>
    <mergeCell ref="Q28:S28"/>
    <mergeCell ref="Q29:S29"/>
    <mergeCell ref="K35:M35"/>
    <mergeCell ref="K36:M36"/>
    <mergeCell ref="K37:M37"/>
    <mergeCell ref="K38:M38"/>
    <mergeCell ref="K39:M39"/>
    <mergeCell ref="Q46:S46"/>
    <mergeCell ref="Q47:S47"/>
    <mergeCell ref="Q48:S48"/>
    <mergeCell ref="W35:Y35"/>
    <mergeCell ref="W36:Y36"/>
    <mergeCell ref="W37:Y37"/>
    <mergeCell ref="W38:Y38"/>
    <mergeCell ref="W39:Y39"/>
  </mergeCells>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P43"/>
  <sheetViews>
    <sheetView view="pageBreakPreview" topLeftCell="A22" zoomScale="60" zoomScaleNormal="100" workbookViewId="0">
      <selection activeCell="C10" sqref="C10"/>
    </sheetView>
  </sheetViews>
  <sheetFormatPr defaultRowHeight="12" x14ac:dyDescent="0.2"/>
  <cols>
    <col min="1" max="1" width="26.44140625" customWidth="1"/>
  </cols>
  <sheetData>
    <row r="1" spans="1:14" ht="13.8" x14ac:dyDescent="0.3">
      <c r="A1" s="2" t="s">
        <v>202</v>
      </c>
      <c r="B1" s="4"/>
      <c r="C1" s="4"/>
      <c r="D1" s="4"/>
      <c r="E1" s="4"/>
      <c r="F1" s="4"/>
      <c r="G1" s="4"/>
      <c r="H1" s="4"/>
      <c r="I1" s="4"/>
      <c r="J1" s="4"/>
      <c r="K1" s="4"/>
      <c r="L1" s="4"/>
      <c r="M1" s="4"/>
      <c r="N1" s="4"/>
    </row>
    <row r="2" spans="1:14" ht="13.8" x14ac:dyDescent="0.3">
      <c r="A2" s="4"/>
      <c r="B2" s="4"/>
      <c r="C2" s="4"/>
      <c r="D2" s="4"/>
      <c r="E2" s="4"/>
      <c r="F2" s="4"/>
      <c r="G2" s="4"/>
      <c r="H2" s="4"/>
      <c r="I2" s="4"/>
      <c r="J2" s="4"/>
      <c r="K2" s="4"/>
      <c r="L2" s="4"/>
      <c r="M2" s="4"/>
      <c r="N2" s="4"/>
    </row>
    <row r="3" spans="1:14" ht="13.8" x14ac:dyDescent="0.3">
      <c r="A3" s="2" t="s">
        <v>203</v>
      </c>
      <c r="B3" s="4"/>
      <c r="C3" s="4"/>
      <c r="D3" s="4"/>
      <c r="E3" s="2" t="s">
        <v>204</v>
      </c>
      <c r="F3" s="4"/>
      <c r="G3" s="4"/>
      <c r="H3" s="4"/>
      <c r="I3" s="4"/>
      <c r="J3" s="4"/>
      <c r="K3" s="4"/>
      <c r="L3" s="4"/>
      <c r="M3" s="4"/>
      <c r="N3" s="4"/>
    </row>
    <row r="4" spans="1:14" ht="13.8" x14ac:dyDescent="0.3">
      <c r="A4" s="4"/>
      <c r="B4" s="4"/>
      <c r="C4" s="4"/>
      <c r="D4" s="4"/>
      <c r="E4" s="4"/>
      <c r="F4" s="4"/>
      <c r="G4" s="4"/>
      <c r="H4" s="4"/>
      <c r="I4" s="4"/>
      <c r="J4" s="4"/>
      <c r="K4" s="4"/>
      <c r="L4" s="4"/>
      <c r="M4" s="4"/>
    </row>
    <row r="5" spans="1:14" ht="15" x14ac:dyDescent="0.35">
      <c r="A5" s="5" t="s">
        <v>705</v>
      </c>
      <c r="B5" s="4"/>
      <c r="C5" s="4"/>
      <c r="D5" s="4"/>
      <c r="E5" s="4"/>
      <c r="F5" s="4"/>
      <c r="G5" s="4"/>
      <c r="H5" s="4"/>
      <c r="I5" s="4"/>
      <c r="J5" s="4"/>
      <c r="K5" s="4"/>
      <c r="L5" s="4"/>
      <c r="M5" s="4"/>
    </row>
    <row r="6" spans="1:14" ht="15" x14ac:dyDescent="0.35">
      <c r="A6" s="5" t="s">
        <v>684</v>
      </c>
      <c r="B6" s="4"/>
      <c r="C6" s="4"/>
      <c r="D6" s="4"/>
      <c r="E6" s="4"/>
      <c r="F6" s="4"/>
      <c r="G6" s="4"/>
      <c r="H6" s="4"/>
      <c r="I6" s="4"/>
      <c r="J6" s="4"/>
      <c r="K6" s="4"/>
      <c r="L6" s="4"/>
      <c r="M6" s="4"/>
    </row>
    <row r="7" spans="1:14" ht="15" x14ac:dyDescent="0.35">
      <c r="A7" s="4"/>
      <c r="B7" s="4"/>
      <c r="C7" s="4"/>
      <c r="D7" s="4"/>
      <c r="E7" s="173" t="s">
        <v>704</v>
      </c>
      <c r="F7" s="174"/>
      <c r="G7" s="175"/>
      <c r="H7" s="8" t="s">
        <v>205</v>
      </c>
      <c r="I7" s="14">
        <f>IF(C9=0,J30,C9)</f>
        <v>1.568392190691761E-2</v>
      </c>
      <c r="J7" s="4"/>
      <c r="K7" s="4"/>
      <c r="L7" s="4"/>
      <c r="M7" s="4"/>
    </row>
    <row r="8" spans="1:14" ht="13.8" x14ac:dyDescent="0.3">
      <c r="A8" s="4"/>
      <c r="B8" s="4"/>
      <c r="C8" s="4"/>
      <c r="D8" s="4"/>
      <c r="E8" s="8" t="s">
        <v>206</v>
      </c>
      <c r="F8" s="45"/>
      <c r="G8" s="45"/>
      <c r="H8" s="10"/>
      <c r="I8" s="10"/>
      <c r="J8" s="4"/>
      <c r="K8" s="4"/>
      <c r="L8" s="4"/>
      <c r="M8" s="4"/>
    </row>
    <row r="9" spans="1:14" ht="15" x14ac:dyDescent="0.35">
      <c r="A9" s="8" t="s">
        <v>727</v>
      </c>
      <c r="B9" s="8" t="s">
        <v>207</v>
      </c>
      <c r="C9" s="38">
        <v>0</v>
      </c>
      <c r="D9" s="4"/>
      <c r="E9" s="173" t="s">
        <v>208</v>
      </c>
      <c r="F9" s="174"/>
      <c r="G9" s="175"/>
      <c r="H9" s="8" t="s">
        <v>209</v>
      </c>
      <c r="I9" s="13">
        <f>1/(PI()*Baseline!$C$20*$C$10)</f>
        <v>4.9735919716217297E-2</v>
      </c>
      <c r="J9" s="4"/>
      <c r="K9" s="4"/>
      <c r="L9" s="4"/>
      <c r="M9" s="4"/>
    </row>
    <row r="10" spans="1:14" ht="13.8" x14ac:dyDescent="0.3">
      <c r="A10" s="8" t="s">
        <v>210</v>
      </c>
      <c r="B10" s="8" t="s">
        <v>211</v>
      </c>
      <c r="C10" s="36">
        <v>0.8</v>
      </c>
      <c r="D10" s="4"/>
      <c r="E10" s="173" t="s">
        <v>212</v>
      </c>
      <c r="F10" s="174"/>
      <c r="G10" s="175"/>
      <c r="H10" s="8" t="s">
        <v>213</v>
      </c>
      <c r="I10" s="13">
        <f>SQRT(Mission!C32^2-1)/4</f>
        <v>0.27950849718747373</v>
      </c>
      <c r="J10" s="4"/>
      <c r="K10" s="4"/>
      <c r="L10" s="4"/>
      <c r="M10" s="4"/>
    </row>
    <row r="11" spans="1:14" ht="15" x14ac:dyDescent="0.35">
      <c r="A11" s="10"/>
      <c r="B11" s="10"/>
      <c r="C11" s="37"/>
      <c r="D11" s="4"/>
      <c r="E11" s="173" t="s">
        <v>700</v>
      </c>
      <c r="F11" s="174"/>
      <c r="G11" s="175"/>
      <c r="H11" s="8" t="s">
        <v>214</v>
      </c>
      <c r="I11" s="13">
        <f>1/(2*SQRT(I7*I9))</f>
        <v>17.90224894620955</v>
      </c>
      <c r="J11" s="4"/>
      <c r="K11" s="4"/>
      <c r="L11" s="4"/>
      <c r="M11" s="4"/>
    </row>
    <row r="12" spans="1:14" ht="15" x14ac:dyDescent="0.35">
      <c r="A12" s="8" t="s">
        <v>728</v>
      </c>
      <c r="B12" s="8" t="s">
        <v>215</v>
      </c>
      <c r="C12" s="38">
        <v>0.04</v>
      </c>
      <c r="D12" s="4"/>
      <c r="E12" s="173" t="s">
        <v>701</v>
      </c>
      <c r="F12" s="174"/>
      <c r="G12" s="175"/>
      <c r="H12" s="8" t="s">
        <v>216</v>
      </c>
      <c r="I12" s="13">
        <f>0.943*I11</f>
        <v>16.881820756275605</v>
      </c>
      <c r="J12" s="4"/>
      <c r="K12" s="4"/>
      <c r="L12" s="4"/>
      <c r="M12" s="4"/>
    </row>
    <row r="13" spans="1:14" ht="15" x14ac:dyDescent="0.35">
      <c r="A13" s="8" t="s">
        <v>217</v>
      </c>
      <c r="B13" s="8" t="s">
        <v>218</v>
      </c>
      <c r="C13" s="36">
        <f>Mission!C32</f>
        <v>1.5</v>
      </c>
      <c r="D13" s="4"/>
      <c r="E13" s="173" t="s">
        <v>702</v>
      </c>
      <c r="F13" s="174"/>
      <c r="G13" s="175"/>
      <c r="H13" s="8" t="s">
        <v>219</v>
      </c>
      <c r="I13" s="13">
        <f>1/(2*SQRT(C12*I10))</f>
        <v>4.7287080450158792</v>
      </c>
      <c r="J13" s="4"/>
      <c r="K13" s="4"/>
      <c r="L13" s="4"/>
      <c r="M13" s="4"/>
    </row>
    <row r="14" spans="1:14" ht="15" x14ac:dyDescent="0.35">
      <c r="A14" s="4"/>
      <c r="B14" s="4"/>
      <c r="C14" s="4"/>
      <c r="D14" s="4"/>
      <c r="E14" s="173" t="s">
        <v>703</v>
      </c>
      <c r="F14" s="174"/>
      <c r="G14" s="175"/>
      <c r="H14" s="8" t="s">
        <v>220</v>
      </c>
      <c r="I14" s="13">
        <f>0.943*I13</f>
        <v>4.4591716864499737</v>
      </c>
      <c r="J14" s="4"/>
      <c r="K14" s="4"/>
      <c r="L14" s="4"/>
      <c r="M14" s="4"/>
    </row>
    <row r="15" spans="1:14" ht="13.8" x14ac:dyDescent="0.3">
      <c r="A15" s="4"/>
      <c r="B15" s="4"/>
      <c r="C15" s="4"/>
      <c r="D15" s="4"/>
      <c r="E15" s="184"/>
      <c r="F15" s="185"/>
      <c r="G15" s="186"/>
      <c r="H15" s="10"/>
      <c r="I15" s="10"/>
      <c r="J15" s="4"/>
      <c r="K15" s="4"/>
      <c r="L15" s="4"/>
      <c r="M15" s="4"/>
    </row>
    <row r="16" spans="1:14" ht="13.8" x14ac:dyDescent="0.3">
      <c r="A16" s="4"/>
      <c r="B16" s="4"/>
      <c r="C16" s="4"/>
      <c r="D16" s="4"/>
      <c r="E16" s="173" t="s">
        <v>221</v>
      </c>
      <c r="F16" s="174"/>
      <c r="G16" s="175"/>
      <c r="H16" s="8" t="s">
        <v>222</v>
      </c>
      <c r="I16" s="15">
        <f>Atmosphere!G20*Mission!I17/Atmosphere!I20</f>
        <v>3044134.4475878272</v>
      </c>
      <c r="J16" s="4"/>
      <c r="K16" s="4"/>
      <c r="L16" s="4"/>
      <c r="M16" s="4"/>
    </row>
    <row r="17" spans="1:14" ht="13.8" x14ac:dyDescent="0.3">
      <c r="A17" s="2" t="s">
        <v>223</v>
      </c>
      <c r="B17" s="4"/>
      <c r="C17" s="4"/>
      <c r="D17" s="4"/>
      <c r="E17" s="4"/>
      <c r="F17" s="4"/>
      <c r="G17" s="4"/>
      <c r="H17" s="4"/>
      <c r="I17" s="4"/>
      <c r="J17" s="4"/>
      <c r="K17" s="4"/>
      <c r="L17" s="4"/>
      <c r="M17" s="4"/>
    </row>
    <row r="18" spans="1:14" ht="14.4" thickBot="1" x14ac:dyDescent="0.35">
      <c r="A18" s="4"/>
      <c r="B18" s="4"/>
      <c r="C18" s="4"/>
      <c r="D18" s="4"/>
      <c r="E18" s="4"/>
      <c r="F18" s="4"/>
      <c r="G18" s="4"/>
      <c r="H18" s="4"/>
      <c r="I18" s="4"/>
      <c r="J18" s="4"/>
      <c r="K18" s="4"/>
      <c r="L18" s="4"/>
      <c r="M18" s="4"/>
    </row>
    <row r="19" spans="1:14" ht="42" x14ac:dyDescent="0.35">
      <c r="A19" s="55" t="s">
        <v>224</v>
      </c>
      <c r="B19" s="98" t="s">
        <v>698</v>
      </c>
      <c r="C19" s="99" t="s">
        <v>699</v>
      </c>
      <c r="D19" s="98" t="s">
        <v>696</v>
      </c>
      <c r="E19" s="99" t="s">
        <v>694</v>
      </c>
      <c r="F19" s="98" t="s">
        <v>697</v>
      </c>
      <c r="G19" s="99" t="s">
        <v>729</v>
      </c>
      <c r="H19" s="98" t="s">
        <v>695</v>
      </c>
      <c r="I19" s="98" t="s">
        <v>226</v>
      </c>
      <c r="J19" s="100" t="s">
        <v>693</v>
      </c>
      <c r="K19" s="4"/>
      <c r="L19" s="4"/>
      <c r="M19" s="4"/>
    </row>
    <row r="20" spans="1:14" ht="13.8" x14ac:dyDescent="0.3">
      <c r="A20" s="95"/>
      <c r="B20" s="10"/>
      <c r="C20" s="10"/>
      <c r="D20" s="10"/>
      <c r="E20" s="10"/>
      <c r="F20" s="10"/>
      <c r="G20" s="10"/>
      <c r="H20" s="10"/>
      <c r="I20" s="10"/>
      <c r="J20" s="86"/>
      <c r="K20" s="4"/>
      <c r="L20" s="4"/>
      <c r="M20" s="4"/>
    </row>
    <row r="21" spans="1:14" ht="13.8" x14ac:dyDescent="0.3">
      <c r="A21" s="58" t="s">
        <v>227</v>
      </c>
      <c r="B21" s="12">
        <f>Baseline!C42</f>
        <v>1418.1464127480044</v>
      </c>
      <c r="C21" s="12">
        <f>Baseline!C43</f>
        <v>10.562413076062311</v>
      </c>
      <c r="D21" s="15">
        <f t="shared" ref="D21:D27" si="0">$I$16*C21</f>
        <v>32153405.494493388</v>
      </c>
      <c r="E21" s="13">
        <f>(1+Baseline!C45*Baseline!C22+100*Baseline!C22^4)*Baseline!C25</f>
        <v>1.407874412055552</v>
      </c>
      <c r="F21" s="11">
        <f t="shared" ref="F21:F27" si="1">0.455/(LOG(D21)^2.58)</f>
        <v>2.5076918357103128E-3</v>
      </c>
      <c r="G21" s="11">
        <v>1.05</v>
      </c>
      <c r="H21" s="10"/>
      <c r="I21" s="11">
        <f>B21*F21*E21*G21+H21</f>
        <v>5.2571267929010013</v>
      </c>
      <c r="J21" s="101">
        <f>I21/Baseline!$C$35</f>
        <v>6.6335605240474054E-3</v>
      </c>
      <c r="K21" s="4"/>
      <c r="L21" s="4"/>
      <c r="M21" s="4"/>
    </row>
    <row r="22" spans="1:14" ht="13.8" x14ac:dyDescent="0.3">
      <c r="A22" s="58" t="s">
        <v>228</v>
      </c>
      <c r="B22" s="12">
        <f>Baseline!I36</f>
        <v>469.28993214244576</v>
      </c>
      <c r="C22" s="12">
        <f>Baseline!I40</f>
        <v>8.150546261530458</v>
      </c>
      <c r="D22" s="15">
        <f t="shared" si="0"/>
        <v>24811358.641383052</v>
      </c>
      <c r="E22" s="13">
        <f>1+1.2*Baseline!I23+100*Baseline!I23^4</f>
        <v>1.1300000000000001</v>
      </c>
      <c r="F22" s="11">
        <f t="shared" si="1"/>
        <v>2.6073770977220255E-3</v>
      </c>
      <c r="G22" s="11">
        <v>1.05</v>
      </c>
      <c r="H22" s="10"/>
      <c r="I22" s="11">
        <f>B22*F22*E22*G22+H22</f>
        <v>1.4518201719246777</v>
      </c>
      <c r="J22" s="101">
        <f>I22/Baseline!$C$35</f>
        <v>1.8319392626215891E-3</v>
      </c>
      <c r="K22" s="4"/>
      <c r="L22" s="4"/>
      <c r="M22" s="4"/>
    </row>
    <row r="23" spans="1:14" ht="13.8" x14ac:dyDescent="0.3">
      <c r="A23" s="58" t="s">
        <v>229</v>
      </c>
      <c r="B23" s="12">
        <f>Baseline!O36</f>
        <v>475.88465755679238</v>
      </c>
      <c r="C23" s="12">
        <f>Baseline!O40</f>
        <v>13.831140904265018</v>
      </c>
      <c r="D23" s="15">
        <f t="shared" si="0"/>
        <v>42103852.476114191</v>
      </c>
      <c r="E23" s="13">
        <f>1+1.2*Baseline!O23+100*Baseline!O23^4</f>
        <v>1.1300000000000001</v>
      </c>
      <c r="F23" s="11">
        <f t="shared" si="1"/>
        <v>2.409529502744207E-3</v>
      </c>
      <c r="G23" s="11">
        <v>1.05</v>
      </c>
      <c r="H23" s="10"/>
      <c r="I23" s="11">
        <f>B23*F23*E23*G23+H23</f>
        <v>1.3605098620928318</v>
      </c>
      <c r="J23" s="101">
        <f>I23/Baseline!$C$35</f>
        <v>1.71672186524837E-3</v>
      </c>
      <c r="K23" s="4"/>
      <c r="L23" s="4"/>
      <c r="M23" s="4"/>
    </row>
    <row r="24" spans="1:14" ht="13.8" x14ac:dyDescent="0.3">
      <c r="A24" s="58" t="s">
        <v>230</v>
      </c>
      <c r="B24" s="12">
        <f>Baseline!U44</f>
        <v>1340.4008309728579</v>
      </c>
      <c r="C24" s="12">
        <f>Baseline!U20</f>
        <v>60</v>
      </c>
      <c r="D24" s="15">
        <f t="shared" si="0"/>
        <v>182648066.85526964</v>
      </c>
      <c r="E24" s="13">
        <f>1+60*(Baseline!U35/Baseline!U20)^3+0.0025*Baseline!U20/Baseline!U35</f>
        <v>1.2082279277466339</v>
      </c>
      <c r="F24" s="11">
        <f t="shared" si="1"/>
        <v>1.9587716436257887E-3</v>
      </c>
      <c r="G24" s="11">
        <v>1.05</v>
      </c>
      <c r="H24" s="10"/>
      <c r="I24" s="11">
        <f>B24*F24*E24*G24+H24</f>
        <v>3.330862198537142</v>
      </c>
      <c r="J24" s="101">
        <f>I24/Baseline!$C$35</f>
        <v>4.2029566456518643E-3</v>
      </c>
      <c r="K24" s="4"/>
      <c r="L24" s="4"/>
      <c r="M24" s="4"/>
    </row>
    <row r="25" spans="1:14" ht="13.8" x14ac:dyDescent="0.3">
      <c r="A25" s="58" t="s">
        <v>231</v>
      </c>
      <c r="B25" s="12">
        <f>Baseline!AA39</f>
        <v>357.67949572653276</v>
      </c>
      <c r="C25" s="12">
        <f>Baseline!AA37</f>
        <v>8.0951735226349992</v>
      </c>
      <c r="D25" s="15">
        <f t="shared" si="0"/>
        <v>24642796.579454098</v>
      </c>
      <c r="E25" s="13">
        <v>1.05</v>
      </c>
      <c r="F25" s="11">
        <f t="shared" si="1"/>
        <v>2.6100722930832115E-3</v>
      </c>
      <c r="G25" s="11">
        <v>1.05</v>
      </c>
      <c r="H25" s="10"/>
      <c r="I25" s="11">
        <f>B25*F25*E25*G25+H25</f>
        <v>1.0292601991137775</v>
      </c>
      <c r="J25" s="101">
        <f>I25/Baseline!$C$35</f>
        <v>1.2987436093483814E-3</v>
      </c>
      <c r="K25" s="4"/>
      <c r="L25" s="4"/>
      <c r="M25" s="4"/>
    </row>
    <row r="26" spans="1:14" ht="13.8" x14ac:dyDescent="0.3">
      <c r="A26" s="58" t="s">
        <v>232</v>
      </c>
      <c r="B26" s="12"/>
      <c r="C26" s="12"/>
      <c r="D26" s="15">
        <f t="shared" si="0"/>
        <v>0</v>
      </c>
      <c r="E26" s="10"/>
      <c r="F26" s="11" t="e">
        <f t="shared" si="1"/>
        <v>#NUM!</v>
      </c>
      <c r="G26" s="10"/>
      <c r="H26" s="10"/>
      <c r="I26" s="10"/>
      <c r="J26" s="86"/>
      <c r="K26" s="4"/>
      <c r="L26" s="4"/>
      <c r="M26" s="4"/>
    </row>
    <row r="27" spans="1:14" ht="13.8" x14ac:dyDescent="0.3">
      <c r="A27" s="58" t="s">
        <v>233</v>
      </c>
      <c r="B27" s="12"/>
      <c r="C27" s="12"/>
      <c r="D27" s="15">
        <f t="shared" si="0"/>
        <v>0</v>
      </c>
      <c r="E27" s="10"/>
      <c r="F27" s="11" t="e">
        <f t="shared" si="1"/>
        <v>#NUM!</v>
      </c>
      <c r="G27" s="10"/>
      <c r="H27" s="10"/>
      <c r="I27" s="10"/>
      <c r="J27" s="86"/>
      <c r="K27" s="4"/>
      <c r="L27" s="4"/>
      <c r="M27" s="4"/>
    </row>
    <row r="28" spans="1:14" ht="13.8" x14ac:dyDescent="0.3">
      <c r="A28" s="95"/>
      <c r="B28" s="10"/>
      <c r="C28" s="10"/>
      <c r="D28" s="10"/>
      <c r="E28" s="10"/>
      <c r="F28" s="10"/>
      <c r="G28" s="10"/>
      <c r="H28" s="10"/>
      <c r="I28" s="8" t="s">
        <v>234</v>
      </c>
      <c r="J28" s="86"/>
      <c r="K28" s="4"/>
      <c r="L28" s="4"/>
      <c r="M28" s="4"/>
    </row>
    <row r="29" spans="1:14" ht="13.8" x14ac:dyDescent="0.3">
      <c r="A29" s="95"/>
      <c r="B29" s="10"/>
      <c r="C29" s="10"/>
      <c r="D29" s="10"/>
      <c r="E29" s="10"/>
      <c r="F29" s="10"/>
      <c r="G29" s="10"/>
      <c r="H29" s="8" t="s">
        <v>235</v>
      </c>
      <c r="I29" s="11">
        <f>SUM(I21:I25)</f>
        <v>12.42957922456943</v>
      </c>
      <c r="J29" s="102" t="s">
        <v>234</v>
      </c>
      <c r="K29" s="4"/>
      <c r="L29" s="4"/>
      <c r="M29" s="4"/>
    </row>
    <row r="30" spans="1:14" ht="14.4" thickBot="1" x14ac:dyDescent="0.35">
      <c r="A30" s="103"/>
      <c r="B30" s="79"/>
      <c r="C30" s="79"/>
      <c r="D30" s="79"/>
      <c r="E30" s="79"/>
      <c r="F30" s="79"/>
      <c r="G30" s="79"/>
      <c r="H30" s="79"/>
      <c r="I30" s="62" t="s">
        <v>236</v>
      </c>
      <c r="J30" s="104">
        <f>SUM(J21:J25)</f>
        <v>1.568392190691761E-2</v>
      </c>
      <c r="K30" s="4"/>
      <c r="L30" s="4"/>
      <c r="M30" s="4"/>
    </row>
    <row r="31" spans="1:14" ht="13.8" x14ac:dyDescent="0.3">
      <c r="A31" s="4"/>
      <c r="B31" s="4"/>
      <c r="C31" s="4"/>
      <c r="D31" s="4"/>
      <c r="E31" s="4"/>
      <c r="F31" s="4"/>
      <c r="G31" s="4"/>
      <c r="H31" s="4"/>
      <c r="I31" s="4"/>
      <c r="J31" s="4"/>
      <c r="K31" s="4"/>
      <c r="L31" s="4"/>
      <c r="M31" s="4"/>
    </row>
    <row r="32" spans="1:14" ht="13.8" x14ac:dyDescent="0.3">
      <c r="A32" s="4"/>
      <c r="B32" s="4"/>
      <c r="C32" s="4"/>
      <c r="D32" s="4"/>
      <c r="E32" s="4"/>
      <c r="F32" s="4"/>
      <c r="G32" s="4"/>
      <c r="H32" s="4"/>
      <c r="I32" s="4"/>
      <c r="J32" s="4"/>
      <c r="K32" s="4"/>
      <c r="L32" s="4"/>
      <c r="M32" s="4"/>
      <c r="N32" s="4"/>
    </row>
    <row r="33" spans="1:94" ht="13.8" x14ac:dyDescent="0.3">
      <c r="A33" s="2" t="s">
        <v>12</v>
      </c>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row>
    <row r="34" spans="1:94" ht="13.8" x14ac:dyDescent="0.3">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row>
    <row r="35" spans="1:94" ht="14.4" thickBot="1" x14ac:dyDescent="0.35">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row>
    <row r="36" spans="1:94" ht="13.8" x14ac:dyDescent="0.3">
      <c r="A36" s="55" t="s">
        <v>676</v>
      </c>
      <c r="B36" s="56" t="s">
        <v>454</v>
      </c>
      <c r="C36" s="105">
        <v>0</v>
      </c>
      <c r="D36" s="105">
        <f t="shared" ref="D36:S36" si="2">C36+0.05</f>
        <v>0.05</v>
      </c>
      <c r="E36" s="105">
        <f t="shared" si="2"/>
        <v>0.1</v>
      </c>
      <c r="F36" s="105">
        <f t="shared" si="2"/>
        <v>0.15000000000000002</v>
      </c>
      <c r="G36" s="105">
        <f t="shared" si="2"/>
        <v>0.2</v>
      </c>
      <c r="H36" s="105">
        <f t="shared" si="2"/>
        <v>0.25</v>
      </c>
      <c r="I36" s="105">
        <f t="shared" si="2"/>
        <v>0.3</v>
      </c>
      <c r="J36" s="105">
        <f t="shared" si="2"/>
        <v>0.35</v>
      </c>
      <c r="K36" s="105">
        <f t="shared" si="2"/>
        <v>0.39999999999999997</v>
      </c>
      <c r="L36" s="105">
        <f t="shared" si="2"/>
        <v>0.44999999999999996</v>
      </c>
      <c r="M36" s="105">
        <f t="shared" si="2"/>
        <v>0.49999999999999994</v>
      </c>
      <c r="N36" s="105">
        <f t="shared" si="2"/>
        <v>0.54999999999999993</v>
      </c>
      <c r="O36" s="105">
        <f t="shared" si="2"/>
        <v>0.6</v>
      </c>
      <c r="P36" s="105">
        <f t="shared" si="2"/>
        <v>0.65</v>
      </c>
      <c r="Q36" s="105">
        <f t="shared" si="2"/>
        <v>0.70000000000000007</v>
      </c>
      <c r="R36" s="105">
        <f t="shared" si="2"/>
        <v>0.75000000000000011</v>
      </c>
      <c r="S36" s="88">
        <f t="shared" si="2"/>
        <v>0.80000000000000016</v>
      </c>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row>
    <row r="37" spans="1:94" ht="13.8" x14ac:dyDescent="0.3">
      <c r="A37" s="58" t="s">
        <v>677</v>
      </c>
      <c r="B37" s="10"/>
      <c r="C37" s="14">
        <f>Aerodynamics!$I$7+Aerodynamics!$I$9*C36^2</f>
        <v>1.568392190691761E-2</v>
      </c>
      <c r="D37" s="14">
        <f>Aerodynamics!$I$7+Aerodynamics!$I$9*D36^2</f>
        <v>1.5808261706208155E-2</v>
      </c>
      <c r="E37" s="14">
        <f>Aerodynamics!$I$7+Aerodynamics!$I$9*E36^2</f>
        <v>1.6181281104079785E-2</v>
      </c>
      <c r="F37" s="14">
        <f>Aerodynamics!$I$7+Aerodynamics!$I$9*F36^2</f>
        <v>1.6802980100532501E-2</v>
      </c>
      <c r="G37" s="14">
        <f>Aerodynamics!$I$7+Aerodynamics!$I$9*G36^2</f>
        <v>1.7673358695566303E-2</v>
      </c>
      <c r="H37" s="14">
        <f>Aerodynamics!$I$7+Aerodynamics!$I$9*H36^2</f>
        <v>1.8792416889181193E-2</v>
      </c>
      <c r="I37" s="14">
        <f>Aerodynamics!$I$7+Aerodynamics!$I$9*I36^2</f>
        <v>2.0160154681377166E-2</v>
      </c>
      <c r="J37" s="14">
        <f>Aerodynamics!$I$7+Aerodynamics!$I$9*J36^2</f>
        <v>2.1776572072154228E-2</v>
      </c>
      <c r="K37" s="14">
        <f>Aerodynamics!$I$7+Aerodynamics!$I$9*K36^2</f>
        <v>2.3641669061512376E-2</v>
      </c>
      <c r="L37" s="14">
        <f>Aerodynamics!$I$7+Aerodynamics!$I$9*L36^2</f>
        <v>2.5755445649451612E-2</v>
      </c>
      <c r="M37" s="14">
        <f>Aerodynamics!$I$7+Aerodynamics!$I$9*M36^2</f>
        <v>2.8117901835971931E-2</v>
      </c>
      <c r="N37" s="14">
        <f>Aerodynamics!$I$7+Aerodynamics!$I$9*N36^2</f>
        <v>3.0729037621073339E-2</v>
      </c>
      <c r="O37" s="14">
        <f>Aerodynamics!$I$7+Aerodynamics!$I$9*O36^2</f>
        <v>3.3588853004755836E-2</v>
      </c>
      <c r="P37" s="14">
        <f>Aerodynamics!$I$7+Aerodynamics!$I$9*P36^2</f>
        <v>3.6697347987019416E-2</v>
      </c>
      <c r="Q37" s="14">
        <f>Aerodynamics!$I$7+Aerodynamics!$I$9*Q36^2</f>
        <v>4.0054522567864091E-2</v>
      </c>
      <c r="R37" s="14">
        <f>Aerodynamics!$I$7+Aerodynamics!$I$9*R36^2</f>
        <v>4.3660376747289856E-2</v>
      </c>
      <c r="S37" s="101">
        <f>Aerodynamics!$I$7+Aerodynamics!$I$9*S36^2</f>
        <v>4.7514910525296689E-2</v>
      </c>
      <c r="T37" s="44"/>
      <c r="U37" s="44"/>
      <c r="V37" s="44"/>
      <c r="W37" s="44"/>
      <c r="X37" s="44"/>
      <c r="Y37" s="44"/>
      <c r="Z37" s="44"/>
      <c r="AA37" s="44"/>
      <c r="AB37" s="44"/>
      <c r="AC37" s="44"/>
      <c r="AD37" s="4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row>
    <row r="38" spans="1:94" ht="13.8" x14ac:dyDescent="0.3">
      <c r="A38" s="58" t="s">
        <v>678</v>
      </c>
      <c r="B38" s="10"/>
      <c r="C38" s="14">
        <f>Aerodynamics!$C$12+Aerodynamics!$C$13*C36^2</f>
        <v>0.04</v>
      </c>
      <c r="D38" s="14">
        <f>Aerodynamics!$C$12+Aerodynamics!$C$13*D36^2</f>
        <v>4.3750000000000004E-2</v>
      </c>
      <c r="E38" s="14">
        <f>Aerodynamics!$C$12+Aerodynamics!$C$13*E36^2</f>
        <v>5.5000000000000007E-2</v>
      </c>
      <c r="F38" s="14">
        <f>Aerodynamics!$C$12+Aerodynamics!$C$13*F36^2</f>
        <v>7.375000000000001E-2</v>
      </c>
      <c r="G38" s="14">
        <f>Aerodynamics!$C$12+Aerodynamics!$C$13*G36^2</f>
        <v>0.1</v>
      </c>
      <c r="H38" s="14">
        <f>Aerodynamics!$C$12+Aerodynamics!$C$13*H36^2</f>
        <v>0.13375000000000001</v>
      </c>
      <c r="I38" s="14">
        <f>Aerodynamics!$C$12+Aerodynamics!$C$13*I36^2</f>
        <v>0.17500000000000002</v>
      </c>
      <c r="J38" s="14">
        <f>Aerodynamics!$C$12+Aerodynamics!$C$13*J36^2</f>
        <v>0.22374999999999998</v>
      </c>
      <c r="K38" s="14">
        <f>Aerodynamics!$C$12+Aerodynamics!$C$13*K36^2</f>
        <v>0.27999999999999997</v>
      </c>
      <c r="L38" s="14">
        <f>Aerodynamics!$C$12+Aerodynamics!$C$13*L36^2</f>
        <v>0.34374999999999994</v>
      </c>
      <c r="M38" s="14">
        <f>Aerodynamics!$C$12+Aerodynamics!$C$13*M36^2</f>
        <v>0.41499999999999987</v>
      </c>
      <c r="N38" s="14">
        <f>Aerodynamics!$C$12+Aerodynamics!$C$13*N36^2</f>
        <v>0.49374999999999986</v>
      </c>
      <c r="O38" s="14">
        <f>Aerodynamics!$C$12+Aerodynamics!$C$13*O36^2</f>
        <v>0.58000000000000007</v>
      </c>
      <c r="P38" s="14">
        <f>Aerodynamics!$C$12+Aerodynamics!$C$13*P36^2</f>
        <v>0.67375000000000007</v>
      </c>
      <c r="Q38" s="14">
        <f>Aerodynamics!$C$12+Aerodynamics!$C$13*Q36^2</f>
        <v>0.77500000000000013</v>
      </c>
      <c r="R38" s="14">
        <f>Aerodynamics!$C$12+Aerodynamics!$C$13*R36^2</f>
        <v>0.88375000000000037</v>
      </c>
      <c r="S38" s="101">
        <f>Aerodynamics!$C$12+Aerodynamics!$C$13*S36^2</f>
        <v>1.0000000000000004</v>
      </c>
      <c r="T38" s="44"/>
      <c r="U38" s="44"/>
      <c r="V38" s="44"/>
      <c r="W38" s="44"/>
      <c r="X38" s="44"/>
      <c r="Y38" s="44"/>
      <c r="Z38" s="44"/>
      <c r="AA38" s="44"/>
      <c r="AB38" s="44"/>
      <c r="AC38" s="44"/>
      <c r="AD38" s="4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row>
    <row r="39" spans="1:94" ht="13.8" x14ac:dyDescent="0.3">
      <c r="A39" s="95"/>
      <c r="B39" s="10"/>
      <c r="C39" s="10"/>
      <c r="D39" s="10"/>
      <c r="E39" s="10"/>
      <c r="F39" s="10"/>
      <c r="G39" s="10"/>
      <c r="H39" s="10"/>
      <c r="I39" s="10"/>
      <c r="J39" s="10"/>
      <c r="K39" s="10"/>
      <c r="L39" s="10"/>
      <c r="M39" s="10"/>
      <c r="N39" s="10"/>
      <c r="O39" s="10"/>
      <c r="P39" s="10"/>
      <c r="Q39" s="10"/>
      <c r="R39" s="10"/>
      <c r="S39" s="86"/>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row>
    <row r="40" spans="1:94" ht="13.8" x14ac:dyDescent="0.3">
      <c r="A40" s="58" t="s">
        <v>679</v>
      </c>
      <c r="B40" s="8" t="s">
        <v>455</v>
      </c>
      <c r="C40" s="11">
        <v>0</v>
      </c>
      <c r="D40" s="11">
        <f t="shared" ref="D40:AI40" si="3">C40+0.001</f>
        <v>1E-3</v>
      </c>
      <c r="E40" s="11">
        <f t="shared" si="3"/>
        <v>2E-3</v>
      </c>
      <c r="F40" s="11">
        <f t="shared" si="3"/>
        <v>3.0000000000000001E-3</v>
      </c>
      <c r="G40" s="11">
        <f t="shared" si="3"/>
        <v>4.0000000000000001E-3</v>
      </c>
      <c r="H40" s="11">
        <f t="shared" si="3"/>
        <v>5.0000000000000001E-3</v>
      </c>
      <c r="I40" s="11">
        <f t="shared" si="3"/>
        <v>6.0000000000000001E-3</v>
      </c>
      <c r="J40" s="11">
        <f t="shared" si="3"/>
        <v>7.0000000000000001E-3</v>
      </c>
      <c r="K40" s="11">
        <f t="shared" si="3"/>
        <v>8.0000000000000002E-3</v>
      </c>
      <c r="L40" s="11">
        <f t="shared" si="3"/>
        <v>9.0000000000000011E-3</v>
      </c>
      <c r="M40" s="11">
        <f t="shared" si="3"/>
        <v>1.0000000000000002E-2</v>
      </c>
      <c r="N40" s="11">
        <f t="shared" si="3"/>
        <v>1.1000000000000003E-2</v>
      </c>
      <c r="O40" s="11">
        <f t="shared" si="3"/>
        <v>1.2000000000000004E-2</v>
      </c>
      <c r="P40" s="11">
        <f t="shared" si="3"/>
        <v>1.3000000000000005E-2</v>
      </c>
      <c r="Q40" s="11">
        <f t="shared" si="3"/>
        <v>1.4000000000000005E-2</v>
      </c>
      <c r="R40" s="11">
        <f t="shared" si="3"/>
        <v>1.5000000000000006E-2</v>
      </c>
      <c r="S40" s="89">
        <f t="shared" si="3"/>
        <v>1.6000000000000007E-2</v>
      </c>
      <c r="T40" s="9">
        <f t="shared" si="3"/>
        <v>1.7000000000000008E-2</v>
      </c>
      <c r="U40" s="9">
        <f t="shared" si="3"/>
        <v>1.8000000000000009E-2</v>
      </c>
      <c r="V40" s="9">
        <f t="shared" si="3"/>
        <v>1.900000000000001E-2</v>
      </c>
      <c r="W40" s="9">
        <f t="shared" si="3"/>
        <v>2.0000000000000011E-2</v>
      </c>
      <c r="X40" s="9">
        <f t="shared" si="3"/>
        <v>2.1000000000000012E-2</v>
      </c>
      <c r="Y40" s="9">
        <f t="shared" si="3"/>
        <v>2.2000000000000013E-2</v>
      </c>
      <c r="Z40" s="9">
        <f t="shared" si="3"/>
        <v>2.3000000000000013E-2</v>
      </c>
      <c r="AA40" s="9">
        <f t="shared" si="3"/>
        <v>2.4000000000000014E-2</v>
      </c>
      <c r="AB40" s="9">
        <f t="shared" si="3"/>
        <v>2.5000000000000015E-2</v>
      </c>
      <c r="AC40" s="9">
        <f t="shared" si="3"/>
        <v>2.6000000000000016E-2</v>
      </c>
      <c r="AD40" s="9">
        <f t="shared" si="3"/>
        <v>2.7000000000000017E-2</v>
      </c>
      <c r="AE40" s="9">
        <f t="shared" si="3"/>
        <v>2.8000000000000018E-2</v>
      </c>
      <c r="AF40" s="9">
        <f t="shared" si="3"/>
        <v>2.9000000000000019E-2</v>
      </c>
      <c r="AG40" s="9">
        <f t="shared" si="3"/>
        <v>3.000000000000002E-2</v>
      </c>
      <c r="AH40" s="9">
        <f t="shared" si="3"/>
        <v>3.1000000000000021E-2</v>
      </c>
      <c r="AI40" s="9">
        <f t="shared" si="3"/>
        <v>3.2000000000000021E-2</v>
      </c>
      <c r="AJ40" s="9">
        <f t="shared" ref="AJ40:BO40" si="4">AI40+0.001</f>
        <v>3.3000000000000022E-2</v>
      </c>
      <c r="AK40" s="9">
        <f t="shared" si="4"/>
        <v>3.4000000000000023E-2</v>
      </c>
      <c r="AL40" s="9">
        <f t="shared" si="4"/>
        <v>3.5000000000000024E-2</v>
      </c>
      <c r="AM40" s="9">
        <f t="shared" si="4"/>
        <v>3.6000000000000025E-2</v>
      </c>
      <c r="AN40" s="9">
        <f t="shared" si="4"/>
        <v>3.7000000000000026E-2</v>
      </c>
      <c r="AO40" s="9">
        <f t="shared" si="4"/>
        <v>3.8000000000000027E-2</v>
      </c>
      <c r="AP40" s="9">
        <f t="shared" si="4"/>
        <v>3.9000000000000028E-2</v>
      </c>
      <c r="AQ40" s="9">
        <f t="shared" si="4"/>
        <v>4.0000000000000029E-2</v>
      </c>
      <c r="AR40" s="9">
        <f t="shared" si="4"/>
        <v>4.1000000000000029E-2</v>
      </c>
      <c r="AS40" s="9">
        <f t="shared" si="4"/>
        <v>4.200000000000003E-2</v>
      </c>
      <c r="AT40" s="9">
        <f t="shared" si="4"/>
        <v>4.3000000000000031E-2</v>
      </c>
      <c r="AU40" s="9">
        <f t="shared" si="4"/>
        <v>4.4000000000000032E-2</v>
      </c>
      <c r="AV40" s="9">
        <f t="shared" si="4"/>
        <v>4.5000000000000033E-2</v>
      </c>
      <c r="AW40" s="9">
        <f t="shared" si="4"/>
        <v>4.6000000000000034E-2</v>
      </c>
      <c r="AX40" s="9">
        <f t="shared" si="4"/>
        <v>4.7000000000000035E-2</v>
      </c>
      <c r="AY40" s="9">
        <f t="shared" si="4"/>
        <v>4.8000000000000036E-2</v>
      </c>
      <c r="AZ40" s="9">
        <f t="shared" si="4"/>
        <v>4.9000000000000037E-2</v>
      </c>
      <c r="BA40" s="9">
        <f t="shared" si="4"/>
        <v>5.0000000000000037E-2</v>
      </c>
      <c r="BB40" s="9">
        <f t="shared" si="4"/>
        <v>5.1000000000000038E-2</v>
      </c>
      <c r="BC40" s="9">
        <f t="shared" si="4"/>
        <v>5.2000000000000039E-2</v>
      </c>
      <c r="BD40" s="9">
        <f t="shared" si="4"/>
        <v>5.300000000000004E-2</v>
      </c>
      <c r="BE40" s="9">
        <f t="shared" si="4"/>
        <v>5.4000000000000041E-2</v>
      </c>
      <c r="BF40" s="9">
        <f t="shared" si="4"/>
        <v>5.5000000000000042E-2</v>
      </c>
      <c r="BG40" s="9">
        <f t="shared" si="4"/>
        <v>5.6000000000000043E-2</v>
      </c>
      <c r="BH40" s="9">
        <f t="shared" si="4"/>
        <v>5.7000000000000044E-2</v>
      </c>
      <c r="BI40" s="9">
        <f t="shared" si="4"/>
        <v>5.8000000000000045E-2</v>
      </c>
      <c r="BJ40" s="9">
        <f t="shared" si="4"/>
        <v>5.9000000000000045E-2</v>
      </c>
      <c r="BK40" s="9">
        <f t="shared" si="4"/>
        <v>6.0000000000000046E-2</v>
      </c>
      <c r="BL40" s="9">
        <f t="shared" si="4"/>
        <v>6.1000000000000047E-2</v>
      </c>
      <c r="BM40" s="9">
        <f t="shared" si="4"/>
        <v>6.2000000000000048E-2</v>
      </c>
      <c r="BN40" s="9">
        <f t="shared" si="4"/>
        <v>6.3000000000000042E-2</v>
      </c>
      <c r="BO40" s="9">
        <f t="shared" si="4"/>
        <v>6.4000000000000043E-2</v>
      </c>
      <c r="BP40" s="9">
        <f t="shared" ref="BP40:CO40" si="5">BO40+0.001</f>
        <v>6.5000000000000044E-2</v>
      </c>
      <c r="BQ40" s="9">
        <f t="shared" si="5"/>
        <v>6.6000000000000045E-2</v>
      </c>
      <c r="BR40" s="9">
        <f t="shared" si="5"/>
        <v>6.7000000000000046E-2</v>
      </c>
      <c r="BS40" s="9">
        <f t="shared" si="5"/>
        <v>6.8000000000000047E-2</v>
      </c>
      <c r="BT40" s="9">
        <f t="shared" si="5"/>
        <v>6.9000000000000047E-2</v>
      </c>
      <c r="BU40" s="9">
        <f t="shared" si="5"/>
        <v>7.0000000000000048E-2</v>
      </c>
      <c r="BV40" s="9">
        <f t="shared" si="5"/>
        <v>7.1000000000000049E-2</v>
      </c>
      <c r="BW40" s="9">
        <f t="shared" si="5"/>
        <v>7.200000000000005E-2</v>
      </c>
      <c r="BX40" s="9">
        <f t="shared" si="5"/>
        <v>7.3000000000000051E-2</v>
      </c>
      <c r="BY40" s="9">
        <f t="shared" si="5"/>
        <v>7.4000000000000052E-2</v>
      </c>
      <c r="BZ40" s="9">
        <f t="shared" si="5"/>
        <v>7.5000000000000053E-2</v>
      </c>
      <c r="CA40" s="9">
        <f t="shared" si="5"/>
        <v>7.6000000000000054E-2</v>
      </c>
      <c r="CB40" s="9">
        <f t="shared" si="5"/>
        <v>7.7000000000000055E-2</v>
      </c>
      <c r="CC40" s="9">
        <f t="shared" si="5"/>
        <v>7.8000000000000055E-2</v>
      </c>
      <c r="CD40" s="9">
        <f t="shared" si="5"/>
        <v>7.9000000000000056E-2</v>
      </c>
      <c r="CE40" s="9">
        <f t="shared" si="5"/>
        <v>8.0000000000000057E-2</v>
      </c>
      <c r="CF40" s="9">
        <f t="shared" si="5"/>
        <v>8.1000000000000058E-2</v>
      </c>
      <c r="CG40" s="9">
        <f t="shared" si="5"/>
        <v>8.2000000000000059E-2</v>
      </c>
      <c r="CH40" s="9">
        <f t="shared" si="5"/>
        <v>8.300000000000006E-2</v>
      </c>
      <c r="CI40" s="9">
        <f t="shared" si="5"/>
        <v>8.4000000000000061E-2</v>
      </c>
      <c r="CJ40" s="9">
        <f t="shared" si="5"/>
        <v>8.5000000000000062E-2</v>
      </c>
      <c r="CK40" s="9">
        <f t="shared" si="5"/>
        <v>8.6000000000000063E-2</v>
      </c>
      <c r="CL40" s="9">
        <f t="shared" si="5"/>
        <v>8.7000000000000063E-2</v>
      </c>
      <c r="CM40" s="9">
        <f t="shared" si="5"/>
        <v>8.8000000000000064E-2</v>
      </c>
      <c r="CN40" s="9">
        <f t="shared" si="5"/>
        <v>8.9000000000000065E-2</v>
      </c>
      <c r="CO40" s="9">
        <f t="shared" si="5"/>
        <v>9.0000000000000066E-2</v>
      </c>
      <c r="CP40" s="4"/>
    </row>
    <row r="41" spans="1:94" ht="13.8" x14ac:dyDescent="0.3">
      <c r="A41" s="58" t="s">
        <v>680</v>
      </c>
      <c r="B41" s="10"/>
      <c r="C41" s="11">
        <f>IF(C40&lt;Aerodynamics!$I$7,0,SQRT(ABS(C40-Aerodynamics!$I$7)/Aerodynamics!$I$9))</f>
        <v>0</v>
      </c>
      <c r="D41" s="11">
        <f>IF(D40&lt;Aerodynamics!$I$7,0,SQRT(ABS(D40-Aerodynamics!$I$7)/Aerodynamics!$I$9))</f>
        <v>0</v>
      </c>
      <c r="E41" s="11">
        <f>IF(E40&lt;Aerodynamics!$I$7,0,SQRT(ABS(E40-Aerodynamics!$I$7)/Aerodynamics!$I$9))</f>
        <v>0</v>
      </c>
      <c r="F41" s="11">
        <f>IF(F40&lt;Aerodynamics!$I$7,0,SQRT(ABS(F40-Aerodynamics!$I$7)/Aerodynamics!$I$9))</f>
        <v>0</v>
      </c>
      <c r="G41" s="11">
        <f>IF(G40&lt;Aerodynamics!$I$7,0,SQRT(ABS(G40-Aerodynamics!$I$7)/Aerodynamics!$I$9))</f>
        <v>0</v>
      </c>
      <c r="H41" s="11">
        <f>IF(H40&lt;Aerodynamics!$I$7,0,SQRT(ABS(H40-Aerodynamics!$I$7)/Aerodynamics!$I$9))</f>
        <v>0</v>
      </c>
      <c r="I41" s="11">
        <f>IF(I40&lt;Aerodynamics!$I$7,0,SQRT(ABS(I40-Aerodynamics!$I$7)/Aerodynamics!$I$9))</f>
        <v>0</v>
      </c>
      <c r="J41" s="11">
        <f>IF(J40&lt;Aerodynamics!$I$7,0,SQRT(ABS(J40-Aerodynamics!$I$7)/Aerodynamics!$I$9))</f>
        <v>0</v>
      </c>
      <c r="K41" s="11">
        <f>IF(K40&lt;Aerodynamics!$I$7,0,SQRT(ABS(K40-Aerodynamics!$I$7)/Aerodynamics!$I$9))</f>
        <v>0</v>
      </c>
      <c r="L41" s="11">
        <f>IF(L40&lt;Aerodynamics!$I$7,0,SQRT(ABS(L40-Aerodynamics!$I$7)/Aerodynamics!$I$9))</f>
        <v>0</v>
      </c>
      <c r="M41" s="11">
        <f>IF(M40&lt;Aerodynamics!$I$7,0,SQRT(ABS(M40-Aerodynamics!$I$7)/Aerodynamics!$I$9))</f>
        <v>0</v>
      </c>
      <c r="N41" s="11">
        <f>IF(N40&lt;Aerodynamics!$I$7,0,SQRT(ABS(N40-Aerodynamics!$I$7)/Aerodynamics!$I$9))</f>
        <v>0</v>
      </c>
      <c r="O41" s="11">
        <f>IF(O40&lt;Aerodynamics!$I$7,0,SQRT(ABS(O40-Aerodynamics!$I$7)/Aerodynamics!$I$9))</f>
        <v>0</v>
      </c>
      <c r="P41" s="11">
        <f>IF(P40&lt;Aerodynamics!$I$7,0,SQRT(ABS(P40-Aerodynamics!$I$7)/Aerodynamics!$I$9))</f>
        <v>0</v>
      </c>
      <c r="Q41" s="11">
        <f>IF(Q40&lt;Aerodynamics!$I$7,0,SQRT(ABS(Q40-Aerodynamics!$I$7)/Aerodynamics!$I$9))</f>
        <v>0</v>
      </c>
      <c r="R41" s="11">
        <f>IF(R40&lt;Aerodynamics!$I$7,0,SQRT(ABS(R40-Aerodynamics!$I$7)/Aerodynamics!$I$9))</f>
        <v>0</v>
      </c>
      <c r="S41" s="89">
        <f>IF(S40&lt;Aerodynamics!$I$7,0,SQRT(ABS(S40-Aerodynamics!$I$7)/Aerodynamics!$I$9))</f>
        <v>7.9719051281392603E-2</v>
      </c>
      <c r="T41" s="9">
        <f>IF(T40&lt;Aerodynamics!$I$7,0,SQRT(ABS(T40-Aerodynamics!$I$7)/Aerodynamics!$I$9))</f>
        <v>0.16266935827063436</v>
      </c>
      <c r="U41" s="9">
        <f>IF(U40&lt;Aerodynamics!$I$7,0,SQRT(ABS(U40-Aerodynamics!$I$7)/Aerodynamics!$I$9))</f>
        <v>0.21579507200850229</v>
      </c>
      <c r="V41" s="9">
        <f>IF(V40&lt;Aerodynamics!$I$7,0,SQRT(ABS(V40-Aerodynamics!$I$7)/Aerodynamics!$I$9))</f>
        <v>0.25821252116450394</v>
      </c>
      <c r="W41" s="9">
        <f>IF(W40&lt;Aerodynamics!$I$7,0,SQRT(ABS(W40-Aerodynamics!$I$7)/Aerodynamics!$I$9))</f>
        <v>0.29458428177535895</v>
      </c>
      <c r="X41" s="9">
        <f>IF(X40&lt;Aerodynamics!$I$7,0,SQRT(ABS(X40-Aerodynamics!$I$7)/Aerodynamics!$I$9))</f>
        <v>0.32693438493385607</v>
      </c>
      <c r="Y41" s="9">
        <f>IF(Y40&lt;Aerodynamics!$I$7,0,SQRT(ABS(Y40-Aerodynamics!$I$7)/Aerodynamics!$I$9))</f>
        <v>0.3563597691028737</v>
      </c>
      <c r="Z41" s="9">
        <f>IF(Z40&lt;Aerodynamics!$I$7,0,SQRT(ABS(Z40-Aerodynamics!$I$7)/Aerodynamics!$I$9))</f>
        <v>0.38353419406622424</v>
      </c>
      <c r="AA41" s="9">
        <f>IF(AA40&lt;Aerodynamics!$I$7,0,SQRT(ABS(AA40-Aerodynamics!$I$7)/Aerodynamics!$I$9))</f>
        <v>0.40890667761850358</v>
      </c>
      <c r="AB41" s="9">
        <f>IF(AB40&lt;Aerodynamics!$I$7,0,SQRT(ABS(AB40-Aerodynamics!$I$7)/Aerodynamics!$I$9))</f>
        <v>0.43279425132963301</v>
      </c>
      <c r="AC41" s="9">
        <f>IF(AC40&lt;Aerodynamics!$I$7,0,SQRT(ABS(AC40-Aerodynamics!$I$7)/Aerodynamics!$I$9))</f>
        <v>0.45543062805102624</v>
      </c>
      <c r="AD41" s="9">
        <f>IF(AD40&lt;Aerodynamics!$I$7,0,SQRT(ABS(AD40-Aerodynamics!$I$7)/Aerodynamics!$I$9))</f>
        <v>0.47699397265576315</v>
      </c>
      <c r="AE41" s="9">
        <f>IF(AE40&lt;Aerodynamics!$I$7,0,SQRT(ABS(AE40-Aerodynamics!$I$7)/Aerodynamics!$I$9))</f>
        <v>0.49762379659025713</v>
      </c>
      <c r="AF41" s="9">
        <f>IF(AF40&lt;Aerodynamics!$I$7,0,SQRT(ABS(AF40-Aerodynamics!$I$7)/Aerodynamics!$I$9))</f>
        <v>0.51743176933377055</v>
      </c>
      <c r="AG41" s="9">
        <f>IF(AG40&lt;Aerodynamics!$I$7,0,SQRT(ABS(AG40-Aerodynamics!$I$7)/Aerodynamics!$I$9))</f>
        <v>0.53650892713807752</v>
      </c>
      <c r="AH41" s="9">
        <f>IF(AH40&lt;Aerodynamics!$I$7,0,SQRT(ABS(AH40-Aerodynamics!$I$7)/Aerodynamics!$I$9))</f>
        <v>0.55493064601067554</v>
      </c>
      <c r="AI41" s="9">
        <f>IF(AI40&lt;Aerodynamics!$I$7,0,SQRT(ABS(AI40-Aerodynamics!$I$7)/Aerodynamics!$I$9))</f>
        <v>0.57276017220543574</v>
      </c>
      <c r="AJ41" s="9">
        <f>IF(AJ40&lt;Aerodynamics!$I$7,0,SQRT(ABS(AJ40-Aerodynamics!$I$7)/Aerodynamics!$I$9))</f>
        <v>0.59005119087056768</v>
      </c>
      <c r="AK41" s="9">
        <f>IF(AK40&lt;Aerodynamics!$I$7,0,SQRT(ABS(AK40-Aerodynamics!$I$7)/Aerodynamics!$I$9))</f>
        <v>0.60684973496801475</v>
      </c>
      <c r="AL41" s="9">
        <f>IF(AL40&lt;Aerodynamics!$I$7,0,SQRT(ABS(AL40-Aerodynamics!$I$7)/Aerodynamics!$I$9))</f>
        <v>0.62319563045140525</v>
      </c>
      <c r="AM41" s="9">
        <f>IF(AM40&lt;Aerodynamics!$I$7,0,SQRT(ABS(AM40-Aerodynamics!$I$7)/Aerodynamics!$I$9))</f>
        <v>0.63912360838628013</v>
      </c>
      <c r="AN41" s="9">
        <f>IF(AN40&lt;Aerodynamics!$I$7,0,SQRT(ABS(AN40-Aerodynamics!$I$7)/Aerodynamics!$I$9))</f>
        <v>0.65466417328251125</v>
      </c>
      <c r="AO41" s="9">
        <f>IF(AO40&lt;Aerodynamics!$I$7,0,SQRT(ABS(AO40-Aerodynamics!$I$7)/Aerodynamics!$I$9))</f>
        <v>0.66984428993807843</v>
      </c>
      <c r="AP41" s="9">
        <f>IF(AP40&lt;Aerodynamics!$I$7,0,SQRT(ABS(AP40-Aerodynamics!$I$7)/Aerodynamics!$I$9))</f>
        <v>0.68468793310940079</v>
      </c>
      <c r="AQ41" s="9">
        <f>IF(AQ40&lt;Aerodynamics!$I$7,0,SQRT(ABS(AQ40-Aerodynamics!$I$7)/Aerodynamics!$I$9))</f>
        <v>0.6992165320761502</v>
      </c>
      <c r="AR41" s="9">
        <f>IF(AR40&lt;Aerodynamics!$I$7,0,SQRT(ABS(AR40-Aerodynamics!$I$7)/Aerodynamics!$I$9))</f>
        <v>0.71344933366818175</v>
      </c>
      <c r="AS41" s="9">
        <f>IF(AS40&lt;Aerodynamics!$I$7,0,SQRT(ABS(AS40-Aerodynamics!$I$7)/Aerodynamics!$I$9))</f>
        <v>0.72740370132035159</v>
      </c>
      <c r="AT41" s="9">
        <f>IF(AT40&lt;Aerodynamics!$I$7,0,SQRT(ABS(AT40-Aerodynamics!$I$7)/Aerodynamics!$I$9))</f>
        <v>0.74109536341655924</v>
      </c>
      <c r="AU41" s="9">
        <f>IF(AU40&lt;Aerodynamics!$I$7,0,SQRT(ABS(AU40-Aerodynamics!$I$7)/Aerodynamics!$I$9))</f>
        <v>0.75453862105295622</v>
      </c>
      <c r="AV41" s="9">
        <f>IF(AV40&lt;Aerodynamics!$I$7,0,SQRT(ABS(AV40-Aerodynamics!$I$7)/Aerodynamics!$I$9))</f>
        <v>0.76774652304225477</v>
      </c>
      <c r="AW41" s="9">
        <f>IF(AW40&lt;Aerodynamics!$I$7,0,SQRT(ABS(AW40-Aerodynamics!$I$7)/Aerodynamics!$I$9))</f>
        <v>0.78073101425935809</v>
      </c>
      <c r="AX41" s="9">
        <f>IF(AX40&lt;Aerodynamics!$I$7,0,SQRT(ABS(AX40-Aerodynamics!$I$7)/Aerodynamics!$I$9))</f>
        <v>0.79350306212983246</v>
      </c>
      <c r="AY41" s="9">
        <f>IF(AY40&lt;Aerodynamics!$I$7,0,SQRT(ABS(AY40-Aerodynamics!$I$7)/Aerodynamics!$I$9))</f>
        <v>0.80607276507297743</v>
      </c>
      <c r="AZ41" s="9">
        <f>IF(AZ40&lt;Aerodynamics!$I$7,0,SQRT(ABS(AZ40-Aerodynamics!$I$7)/Aerodynamics!$I$9))</f>
        <v>0.81844944594969959</v>
      </c>
      <c r="BA41" s="9">
        <f>IF(BA40&lt;Aerodynamics!$I$7,0,SQRT(ABS(BA40-Aerodynamics!$I$7)/Aerodynamics!$I$9))</f>
        <v>0.83064173297417754</v>
      </c>
      <c r="BB41" s="9">
        <f>IF(BB40&lt;Aerodynamics!$I$7,0,SQRT(ABS(BB40-Aerodynamics!$I$7)/Aerodynamics!$I$9))</f>
        <v>0.84265763008550487</v>
      </c>
      <c r="BC41" s="9">
        <f>IF(BC40&lt;Aerodynamics!$I$7,0,SQRT(ABS(BC40-Aerodynamics!$I$7)/Aerodynamics!$I$9))</f>
        <v>0.85450457841037597</v>
      </c>
      <c r="BD41" s="9">
        <f>IF(BD40&lt;Aerodynamics!$I$7,0,SQRT(ABS(BD40-Aerodynamics!$I$7)/Aerodynamics!$I$9))</f>
        <v>0.86618951015771883</v>
      </c>
      <c r="BE41" s="9">
        <f>IF(BE40&lt;Aerodynamics!$I$7,0,SQRT(ABS(BE40-Aerodynamics!$I$7)/Aerodynamics!$I$9))</f>
        <v>0.877718896053995</v>
      </c>
      <c r="BF41" s="9">
        <f>IF(BF40&lt;Aerodynamics!$I$7,0,SQRT(ABS(BF40-Aerodynamics!$I$7)/Aerodynamics!$I$9))</f>
        <v>0.88909878724088831</v>
      </c>
      <c r="BG41" s="9">
        <f>IF(BG40&lt;Aerodynamics!$I$7,0,SQRT(ABS(BG40-Aerodynamics!$I$7)/Aerodynamics!$I$9))</f>
        <v>0.90033485240558864</v>
      </c>
      <c r="BH41" s="9">
        <f>IF(BH40&lt;Aerodynamics!$I$7,0,SQRT(ABS(BH40-Aerodynamics!$I$7)/Aerodynamics!$I$9))</f>
        <v>0.91143241079038206</v>
      </c>
      <c r="BI41" s="9">
        <f>IF(BI40&lt;Aerodynamics!$I$7,0,SQRT(ABS(BI40-Aerodynamics!$I$7)/Aerodynamics!$I$9))</f>
        <v>0.9223964616270719</v>
      </c>
      <c r="BJ41" s="9">
        <f>IF(BJ40&lt;Aerodynamics!$I$7,0,SQRT(ABS(BJ40-Aerodynamics!$I$7)/Aerodynamics!$I$9))</f>
        <v>0.93323171045840336</v>
      </c>
      <c r="BK41" s="9">
        <f>IF(BK40&lt;Aerodynamics!$I$7,0,SQRT(ABS(BK40-Aerodynamics!$I$7)/Aerodynamics!$I$9))</f>
        <v>0.94394259273967074</v>
      </c>
      <c r="BL41" s="9">
        <f>IF(BL40&lt;Aerodynamics!$I$7,0,SQRT(ABS(BL40-Aerodynamics!$I$7)/Aerodynamics!$I$9))</f>
        <v>0.95453329505631523</v>
      </c>
      <c r="BM41" s="9">
        <f>IF(BM40&lt;Aerodynamics!$I$7,0,SQRT(ABS(BM40-Aerodynamics!$I$7)/Aerodynamics!$I$9))</f>
        <v>0.96500777424538975</v>
      </c>
      <c r="BN41" s="9">
        <f>IF(BN40&lt;Aerodynamics!$I$7,0,SQRT(ABS(BN40-Aerodynamics!$I$7)/Aerodynamics!$I$9))</f>
        <v>0.97536977466856933</v>
      </c>
      <c r="BO41" s="9">
        <f>IF(BO40&lt;Aerodynamics!$I$7,0,SQRT(ABS(BO40-Aerodynamics!$I$7)/Aerodynamics!$I$9))</f>
        <v>0.9856228438505219</v>
      </c>
      <c r="BP41" s="9">
        <f>IF(BP40&lt;Aerodynamics!$I$7,0,SQRT(ABS(BP40-Aerodynamics!$I$7)/Aerodynamics!$I$9))</f>
        <v>0.99577034666782727</v>
      </c>
      <c r="BQ41" s="9">
        <f>IF(BQ40&lt;Aerodynamics!$I$7,0,SQRT(ABS(BQ40-Aerodynamics!$I$7)/Aerodynamics!$I$9))</f>
        <v>1.0058154782493356</v>
      </c>
      <c r="BR41" s="9">
        <f>IF(BR40&lt;Aerodynamics!$I$7,0,SQRT(ABS(BR40-Aerodynamics!$I$7)/Aerodynamics!$I$9))</f>
        <v>1.0157612757281675</v>
      </c>
      <c r="BS41" s="9">
        <f>IF(BS40&lt;Aerodynamics!$I$7,0,SQRT(ABS(BS40-Aerodynamics!$I$7)/Aerodynamics!$I$9))</f>
        <v>1.0256106289678795</v>
      </c>
      <c r="BT41" s="9">
        <f>IF(BT40&lt;Aerodynamics!$I$7,0,SQRT(ABS(BT40-Aerodynamics!$I$7)/Aerodynamics!$I$9))</f>
        <v>1.0353662903701588</v>
      </c>
      <c r="BU41" s="9">
        <f>IF(BU40&lt;Aerodynamics!$I$7,0,SQRT(ABS(BU40-Aerodynamics!$I$7)/Aerodynamics!$I$9))</f>
        <v>1.0450308838583855</v>
      </c>
      <c r="BV41" s="9">
        <f>IF(BV40&lt;Aerodynamics!$I$7,0,SQRT(ABS(BV40-Aerodynamics!$I$7)/Aerodynamics!$I$9))</f>
        <v>1.0546069131201508</v>
      </c>
      <c r="BW41" s="9">
        <f>IF(BW40&lt;Aerodynamics!$I$7,0,SQRT(ABS(BW40-Aerodynamics!$I$7)/Aerodynamics!$I$9))</f>
        <v>1.0640967691821022</v>
      </c>
      <c r="BX41" s="9">
        <f>IF(BX40&lt;Aerodynamics!$I$7,0,SQRT(ABS(BX40-Aerodynamics!$I$7)/Aerodynamics!$I$9))</f>
        <v>1.0735027373820536</v>
      </c>
      <c r="BY41" s="9">
        <f>IF(BY40&lt;Aerodynamics!$I$7,0,SQRT(ABS(BY40-Aerodynamics!$I$7)/Aerodynamics!$I$9))</f>
        <v>1.0828270037959606</v>
      </c>
      <c r="BZ41" s="9">
        <f>IF(BZ40&lt;Aerodynamics!$I$7,0,SQRT(ABS(BZ40-Aerodynamics!$I$7)/Aerodynamics!$I$9))</f>
        <v>1.0920716611709653</v>
      </c>
      <c r="CA41" s="9">
        <f>IF(CA40&lt;Aerodynamics!$I$7,0,SQRT(ABS(CA40-Aerodynamics!$I$7)/Aerodynamics!$I$9))</f>
        <v>1.1012387144101348</v>
      </c>
      <c r="CB41" s="9">
        <f>IF(CB40&lt;Aerodynamics!$I$7,0,SQRT(ABS(CB40-Aerodynamics!$I$7)/Aerodynamics!$I$9))</f>
        <v>1.1103300856496061</v>
      </c>
      <c r="CC41" s="9">
        <f>IF(CC40&lt;Aerodynamics!$I$7,0,SQRT(ABS(CC40-Aerodynamics!$I$7)/Aerodynamics!$I$9))</f>
        <v>1.1193476189645628</v>
      </c>
      <c r="CD41" s="9">
        <f>IF(CD40&lt;Aerodynamics!$I$7,0,SQRT(ABS(CD40-Aerodynamics!$I$7)/Aerodynamics!$I$9))</f>
        <v>1.128293084736679</v>
      </c>
      <c r="CE41" s="9">
        <f>IF(CE40&lt;Aerodynamics!$I$7,0,SQRT(ABS(CE40-Aerodynamics!$I$7)/Aerodynamics!$I$9))</f>
        <v>1.1371681837123238</v>
      </c>
      <c r="CF41" s="9">
        <f>IF(CF40&lt;Aerodynamics!$I$7,0,SQRT(ABS(CF40-Aerodynamics!$I$7)/Aerodynamics!$I$9))</f>
        <v>1.1459745507778785</v>
      </c>
      <c r="CG41" s="9">
        <f>IF(CG40&lt;Aerodynamics!$I$7,0,SQRT(ABS(CG40-Aerodynamics!$I$7)/Aerodynamics!$I$9))</f>
        <v>1.1547137584758982</v>
      </c>
      <c r="CH41" s="9">
        <f>IF(CH40&lt;Aerodynamics!$I$7,0,SQRT(ABS(CH40-Aerodynamics!$I$7)/Aerodynamics!$I$9))</f>
        <v>1.1633873202835372</v>
      </c>
      <c r="CI41" s="9">
        <f>IF(CI40&lt;Aerodynamics!$I$7,0,SQRT(ABS(CI40-Aerodynamics!$I$7)/Aerodynamics!$I$9))</f>
        <v>1.1719966936725905</v>
      </c>
      <c r="CJ41" s="9">
        <f>IF(CJ40&lt;Aerodynamics!$I$7,0,SQRT(ABS(CJ40-Aerodynamics!$I$7)/Aerodynamics!$I$9))</f>
        <v>1.1805432829686757</v>
      </c>
      <c r="CK41" s="9">
        <f>IF(CK40&lt;Aerodynamics!$I$7,0,SQRT(ABS(CK40-Aerodynamics!$I$7)/Aerodynamics!$I$9))</f>
        <v>1.1890284420254351</v>
      </c>
      <c r="CL41" s="9">
        <f>IF(CL40&lt;Aerodynamics!$I$7,0,SQRT(ABS(CL40-Aerodynamics!$I$7)/Aerodynamics!$I$9))</f>
        <v>1.197453476728181</v>
      </c>
      <c r="CM41" s="9">
        <f>IF(CM40&lt;Aerodynamics!$I$7,0,SQRT(ABS(CM40-Aerodynamics!$I$7)/Aerodynamics!$I$9))</f>
        <v>1.2058196473400917</v>
      </c>
      <c r="CN41" s="9">
        <f>IF(CN40&lt;Aerodynamics!$I$7,0,SQRT(ABS(CN40-Aerodynamics!$I$7)/Aerodynamics!$I$9))</f>
        <v>1.2141281707028948</v>
      </c>
      <c r="CO41" s="9">
        <f>IF(CO40&lt;Aerodynamics!$I$7,0,SQRT(ABS(CO40-Aerodynamics!$I$7)/Aerodynamics!$I$9))</f>
        <v>1.2223802223029185</v>
      </c>
      <c r="CP41" s="4"/>
    </row>
    <row r="42" spans="1:94" ht="14.4" thickBot="1" x14ac:dyDescent="0.35">
      <c r="A42" s="61" t="s">
        <v>681</v>
      </c>
      <c r="B42" s="79"/>
      <c r="C42" s="106">
        <f>IF(C40&lt;Aerodynamics!$C$12,0,SQRT(ABS(C40-Aerodynamics!$C$12)/Aerodynamics!$C$13))</f>
        <v>0</v>
      </c>
      <c r="D42" s="106">
        <f>IF(D40&lt;Aerodynamics!$C$12,0,SQRT(ABS(D40-Aerodynamics!$C$12)/Aerodynamics!$C$13))</f>
        <v>0</v>
      </c>
      <c r="E42" s="106">
        <f>IF(E40&lt;Aerodynamics!$C$12,0,SQRT(ABS(E40-Aerodynamics!$C$12)/Aerodynamics!$C$13))</f>
        <v>0</v>
      </c>
      <c r="F42" s="106">
        <f>IF(F40&lt;Aerodynamics!$C$12,0,SQRT(ABS(F40-Aerodynamics!$C$12)/Aerodynamics!$C$13))</f>
        <v>0</v>
      </c>
      <c r="G42" s="106">
        <f>IF(G40&lt;Aerodynamics!$C$12,0,SQRT(ABS(G40-Aerodynamics!$C$12)/Aerodynamics!$C$13))</f>
        <v>0</v>
      </c>
      <c r="H42" s="106">
        <f>IF(H40&lt;Aerodynamics!$C$12,0,SQRT(ABS(H40-Aerodynamics!$C$12)/Aerodynamics!$C$13))</f>
        <v>0</v>
      </c>
      <c r="I42" s="106">
        <f>IF(I40&lt;Aerodynamics!$C$12,0,SQRT(ABS(I40-Aerodynamics!$C$12)/Aerodynamics!$C$13))</f>
        <v>0</v>
      </c>
      <c r="J42" s="106">
        <f>IF(J40&lt;Aerodynamics!$C$12,0,SQRT(ABS(J40-Aerodynamics!$C$12)/Aerodynamics!$C$13))</f>
        <v>0</v>
      </c>
      <c r="K42" s="106">
        <f>IF(K40&lt;Aerodynamics!$C$12,0,SQRT(ABS(K40-Aerodynamics!$C$12)/Aerodynamics!$C$13))</f>
        <v>0</v>
      </c>
      <c r="L42" s="106">
        <f>IF(L40&lt;Aerodynamics!$C$12,0,SQRT(ABS(L40-Aerodynamics!$C$12)/Aerodynamics!$C$13))</f>
        <v>0</v>
      </c>
      <c r="M42" s="106">
        <f>IF(M40&lt;Aerodynamics!$C$12,0,SQRT(ABS(M40-Aerodynamics!$C$12)/Aerodynamics!$C$13))</f>
        <v>0</v>
      </c>
      <c r="N42" s="106">
        <f>IF(N40&lt;Aerodynamics!$C$12,0,SQRT(ABS(N40-Aerodynamics!$C$12)/Aerodynamics!$C$13))</f>
        <v>0</v>
      </c>
      <c r="O42" s="106">
        <f>IF(O40&lt;Aerodynamics!$C$12,0,SQRT(ABS(O40-Aerodynamics!$C$12)/Aerodynamics!$C$13))</f>
        <v>0</v>
      </c>
      <c r="P42" s="106">
        <f>IF(P40&lt;Aerodynamics!$C$12,0,SQRT(ABS(P40-Aerodynamics!$C$12)/Aerodynamics!$C$13))</f>
        <v>0</v>
      </c>
      <c r="Q42" s="106">
        <f>IF(Q40&lt;Aerodynamics!$C$12,0,SQRT(ABS(Q40-Aerodynamics!$C$12)/Aerodynamics!$C$13))</f>
        <v>0</v>
      </c>
      <c r="R42" s="106">
        <f>IF(R40&lt;Aerodynamics!$C$12,0,SQRT(ABS(R40-Aerodynamics!$C$12)/Aerodynamics!$C$13))</f>
        <v>0</v>
      </c>
      <c r="S42" s="85">
        <f>IF(S40&lt;Aerodynamics!$C$12,0,SQRT(ABS(S40-Aerodynamics!$C$12)/Aerodynamics!$C$13))</f>
        <v>0</v>
      </c>
      <c r="T42" s="9">
        <f>IF(T40&lt;Aerodynamics!$C$12,0,SQRT(ABS(T40-Aerodynamics!$C$12)/Aerodynamics!$C$13))</f>
        <v>0</v>
      </c>
      <c r="U42" s="9">
        <f>IF(U40&lt;Aerodynamics!$C$12,0,SQRT(ABS(U40-Aerodynamics!$C$12)/Aerodynamics!$C$13))</f>
        <v>0</v>
      </c>
      <c r="V42" s="9">
        <f>IF(V40&lt;Aerodynamics!$C$12,0,SQRT(ABS(V40-Aerodynamics!$C$12)/Aerodynamics!$C$13))</f>
        <v>0</v>
      </c>
      <c r="W42" s="9">
        <f>IF(W40&lt;Aerodynamics!$C$12,0,SQRT(ABS(W40-Aerodynamics!$C$12)/Aerodynamics!$C$13))</f>
        <v>0</v>
      </c>
      <c r="X42" s="9">
        <f>IF(X40&lt;Aerodynamics!$C$12,0,SQRT(ABS(X40-Aerodynamics!$C$12)/Aerodynamics!$C$13))</f>
        <v>0</v>
      </c>
      <c r="Y42" s="9">
        <f>IF(Y40&lt;Aerodynamics!$C$12,0,SQRT(ABS(Y40-Aerodynamics!$C$12)/Aerodynamics!$C$13))</f>
        <v>0</v>
      </c>
      <c r="Z42" s="9">
        <f>IF(Z40&lt;Aerodynamics!$C$12,0,SQRT(ABS(Z40-Aerodynamics!$C$12)/Aerodynamics!$C$13))</f>
        <v>0</v>
      </c>
      <c r="AA42" s="9">
        <f>IF(AA40&lt;Aerodynamics!$C$12,0,SQRT(ABS(AA40-Aerodynamics!$C$12)/Aerodynamics!$C$13))</f>
        <v>0</v>
      </c>
      <c r="AB42" s="9">
        <f>IF(AB40&lt;Aerodynamics!$C$12,0,SQRT(ABS(AB40-Aerodynamics!$C$12)/Aerodynamics!$C$13))</f>
        <v>0</v>
      </c>
      <c r="AC42" s="9">
        <f>IF(AC40&lt;Aerodynamics!$C$12,0,SQRT(ABS(AC40-Aerodynamics!$C$12)/Aerodynamics!$C$13))</f>
        <v>0</v>
      </c>
      <c r="AD42" s="9">
        <f>IF(AD40&lt;Aerodynamics!$C$12,0,SQRT(ABS(AD40-Aerodynamics!$C$12)/Aerodynamics!$C$13))</f>
        <v>0</v>
      </c>
      <c r="AE42" s="9">
        <f>IF(AE40&lt;Aerodynamics!$C$12,0,SQRT(ABS(AE40-Aerodynamics!$C$12)/Aerodynamics!$C$13))</f>
        <v>0</v>
      </c>
      <c r="AF42" s="9">
        <f>IF(AF40&lt;Aerodynamics!$C$12,0,SQRT(ABS(AF40-Aerodynamics!$C$12)/Aerodynamics!$C$13))</f>
        <v>0</v>
      </c>
      <c r="AG42" s="9">
        <f>IF(AG40&lt;Aerodynamics!$C$12,0,SQRT(ABS(AG40-Aerodynamics!$C$12)/Aerodynamics!$C$13))</f>
        <v>0</v>
      </c>
      <c r="AH42" s="9">
        <f>IF(AH40&lt;Aerodynamics!$C$12,0,SQRT(ABS(AH40-Aerodynamics!$C$12)/Aerodynamics!$C$13))</f>
        <v>0</v>
      </c>
      <c r="AI42" s="9">
        <f>IF(AI40&lt;Aerodynamics!$C$12,0,SQRT(ABS(AI40-Aerodynamics!$C$12)/Aerodynamics!$C$13))</f>
        <v>0</v>
      </c>
      <c r="AJ42" s="9">
        <f>IF(AJ40&lt;Aerodynamics!$C$12,0,SQRT(ABS(AJ40-Aerodynamics!$C$12)/Aerodynamics!$C$13))</f>
        <v>0</v>
      </c>
      <c r="AK42" s="9">
        <f>IF(AK40&lt;Aerodynamics!$C$12,0,SQRT(ABS(AK40-Aerodynamics!$C$12)/Aerodynamics!$C$13))</f>
        <v>0</v>
      </c>
      <c r="AL42" s="9">
        <f>IF(AL40&lt;Aerodynamics!$C$12,0,SQRT(ABS(AL40-Aerodynamics!$C$12)/Aerodynamics!$C$13))</f>
        <v>0</v>
      </c>
      <c r="AM42" s="9">
        <f>IF(AM40&lt;Aerodynamics!$C$12,0,SQRT(ABS(AM40-Aerodynamics!$C$12)/Aerodynamics!$C$13))</f>
        <v>0</v>
      </c>
      <c r="AN42" s="9">
        <f>IF(AN40&lt;Aerodynamics!$C$12,0,SQRT(ABS(AN40-Aerodynamics!$C$12)/Aerodynamics!$C$13))</f>
        <v>0</v>
      </c>
      <c r="AO42" s="9">
        <f>IF(AO40&lt;Aerodynamics!$C$12,0,SQRT(ABS(AO40-Aerodynamics!$C$12)/Aerodynamics!$C$13))</f>
        <v>0</v>
      </c>
      <c r="AP42" s="9">
        <f>IF(AP40&lt;Aerodynamics!$C$12,0,SQRT(ABS(AP40-Aerodynamics!$C$12)/Aerodynamics!$C$13))</f>
        <v>0</v>
      </c>
      <c r="AQ42" s="9">
        <f>IF(AQ40&lt;Aerodynamics!$C$12,0,SQRT(ABS(AQ40-Aerodynamics!$C$12)/Aerodynamics!$C$13))</f>
        <v>4.3015947132529745E-9</v>
      </c>
      <c r="AR42" s="9">
        <f>IF(AR40&lt;Aerodynamics!$C$12,0,SQRT(ABS(AR40-Aerodynamics!$C$12)/Aerodynamics!$C$13))</f>
        <v>2.581988897471648E-2</v>
      </c>
      <c r="AS42" s="9">
        <f>IF(AS40&lt;Aerodynamics!$C$12,0,SQRT(ABS(AS40-Aerodynamics!$C$12)/Aerodynamics!$C$13))</f>
        <v>3.6514837167011344E-2</v>
      </c>
      <c r="AT42" s="9">
        <f>IF(AT40&lt;Aerodynamics!$C$12,0,SQRT(ABS(AT40-Aerodynamics!$C$12)/Aerodynamics!$C$13))</f>
        <v>4.4721359549996023E-2</v>
      </c>
      <c r="AU42" s="9">
        <f>IF(AU40&lt;Aerodynamics!$C$12,0,SQRT(ABS(AU40-Aerodynamics!$C$12)/Aerodynamics!$C$13))</f>
        <v>5.1639777949432426E-2</v>
      </c>
      <c r="AV42" s="9">
        <f>IF(AV40&lt;Aerodynamics!$C$12,0,SQRT(ABS(AV40-Aerodynamics!$C$12)/Aerodynamics!$C$13))</f>
        <v>5.7735026918962762E-2</v>
      </c>
      <c r="AW42" s="9">
        <f>IF(AW40&lt;Aerodynamics!$C$12,0,SQRT(ABS(AW40-Aerodynamics!$C$12)/Aerodynamics!$C$13))</f>
        <v>6.3245553203367763E-2</v>
      </c>
      <c r="AX42" s="9">
        <f>IF(AX40&lt;Aerodynamics!$C$12,0,SQRT(ABS(AX40-Aerodynamics!$C$12)/Aerodynamics!$C$13))</f>
        <v>6.8313005106397484E-2</v>
      </c>
      <c r="AY42" s="9">
        <f>IF(AY40&lt;Aerodynamics!$C$12,0,SQRT(ABS(AY40-Aerodynamics!$C$12)/Aerodynamics!$C$13))</f>
        <v>7.3029674334022313E-2</v>
      </c>
      <c r="AZ42" s="9">
        <f>IF(AZ40&lt;Aerodynamics!$C$12,0,SQRT(ABS(AZ40-Aerodynamics!$C$12)/Aerodynamics!$C$13))</f>
        <v>7.745966692414849E-2</v>
      </c>
      <c r="BA42" s="9">
        <f>IF(BA40&lt;Aerodynamics!$C$12,0,SQRT(ABS(BA40-Aerodynamics!$C$12)/Aerodynamics!$C$13))</f>
        <v>8.1649658092772748E-2</v>
      </c>
      <c r="BB42" s="9">
        <f>IF(BB40&lt;Aerodynamics!$C$12,0,SQRT(ABS(BB40-Aerodynamics!$C$12)/Aerodynamics!$C$13))</f>
        <v>8.5634883857767671E-2</v>
      </c>
      <c r="BC42" s="9">
        <f>IF(BC40&lt;Aerodynamics!$C$12,0,SQRT(ABS(BC40-Aerodynamics!$C$12)/Aerodynamics!$C$13))</f>
        <v>8.9442719099991741E-2</v>
      </c>
      <c r="BD42" s="9">
        <f>IF(BD40&lt;Aerodynamics!$C$12,0,SQRT(ABS(BD40-Aerodynamics!$C$12)/Aerodynamics!$C$13))</f>
        <v>9.3094933625126414E-2</v>
      </c>
      <c r="BE42" s="9">
        <f>IF(BE40&lt;Aerodynamics!$C$12,0,SQRT(ABS(BE40-Aerodynamics!$C$12)/Aerodynamics!$C$13))</f>
        <v>9.6609178307929727E-2</v>
      </c>
      <c r="BF42" s="9">
        <f>IF(BF40&lt;Aerodynamics!$C$12,0,SQRT(ABS(BF40-Aerodynamics!$C$12)/Aerodynamics!$C$13))</f>
        <v>0.10000000000000014</v>
      </c>
      <c r="BG42" s="9">
        <f>IF(BG40&lt;Aerodynamics!$C$12,0,SQRT(ABS(BG40-Aerodynamics!$C$12)/Aerodynamics!$C$13))</f>
        <v>0.10327955589886459</v>
      </c>
      <c r="BH42" s="9">
        <f>IF(BH40&lt;Aerodynamics!$C$12,0,SQRT(ABS(BH40-Aerodynamics!$C$12)/Aerodynamics!$C$13))</f>
        <v>0.10645812948447554</v>
      </c>
      <c r="BI42" s="9">
        <f>IF(BI40&lt;Aerodynamics!$C$12,0,SQRT(ABS(BI40-Aerodynamics!$C$12)/Aerodynamics!$C$13))</f>
        <v>0.10954451150103336</v>
      </c>
      <c r="BJ42" s="9">
        <f>IF(BJ40&lt;Aerodynamics!$C$12,0,SQRT(ABS(BJ40-Aerodynamics!$C$12)/Aerodynamics!$C$13))</f>
        <v>0.11254628677422768</v>
      </c>
      <c r="BK42" s="9">
        <f>IF(BK40&lt;Aerodynamics!$C$12,0,SQRT(ABS(BK40-Aerodynamics!$C$12)/Aerodynamics!$C$13))</f>
        <v>0.11547005383792529</v>
      </c>
      <c r="BL42" s="9">
        <f>IF(BL40&lt;Aerodynamics!$C$12,0,SQRT(ABS(BL40-Aerodynamics!$C$12)/Aerodynamics!$C$13))</f>
        <v>0.11832159566199245</v>
      </c>
      <c r="BM42" s="9">
        <f>IF(BM40&lt;Aerodynamics!$C$12,0,SQRT(ABS(BM40-Aerodynamics!$C$12)/Aerodynamics!$C$13))</f>
        <v>0.12110601416389979</v>
      </c>
      <c r="BN42" s="9">
        <f>IF(BN40&lt;Aerodynamics!$C$12,0,SQRT(ABS(BN40-Aerodynamics!$C$12)/Aerodynamics!$C$13))</f>
        <v>0.12382783747337818</v>
      </c>
      <c r="BO42" s="9">
        <f>IF(BO40&lt;Aerodynamics!$C$12,0,SQRT(ABS(BO40-Aerodynamics!$C$12)/Aerodynamics!$C$13))</f>
        <v>0.12649110640673528</v>
      </c>
      <c r="BP42" s="9">
        <f>IF(BP40&lt;Aerodynamics!$C$12,0,SQRT(ABS(BP40-Aerodynamics!$C$12)/Aerodynamics!$C$13))</f>
        <v>0.12909944487358066</v>
      </c>
      <c r="BQ42" s="9">
        <f>IF(BQ40&lt;Aerodynamics!$C$12,0,SQRT(ABS(BQ40-Aerodynamics!$C$12)/Aerodynamics!$C$13))</f>
        <v>0.13165611772087676</v>
      </c>
      <c r="BR42" s="9">
        <f>IF(BR40&lt;Aerodynamics!$C$12,0,SQRT(ABS(BR40-Aerodynamics!$C$12)/Aerodynamics!$C$13))</f>
        <v>0.1341640786499875</v>
      </c>
      <c r="BS42" s="9">
        <f>IF(BS40&lt;Aerodynamics!$C$12,0,SQRT(ABS(BS40-Aerodynamics!$C$12)/Aerodynamics!$C$13))</f>
        <v>0.13662601021279475</v>
      </c>
      <c r="BT42" s="9">
        <f>IF(BT40&lt;Aerodynamics!$C$12,0,SQRT(ABS(BT40-Aerodynamics!$C$12)/Aerodynamics!$C$13))</f>
        <v>0.13904435743076152</v>
      </c>
      <c r="BU42" s="9">
        <f>IF(BU40&lt;Aerodynamics!$C$12,0,SQRT(ABS(BU40-Aerodynamics!$C$12)/Aerodynamics!$C$13))</f>
        <v>0.14142135623730961</v>
      </c>
      <c r="BV42" s="9">
        <f>IF(BV40&lt;Aerodynamics!$C$12,0,SQRT(ABS(BV40-Aerodynamics!$C$12)/Aerodynamics!$C$13))</f>
        <v>0.14375905768565228</v>
      </c>
      <c r="BW42" s="9">
        <f>IF(BW40&lt;Aerodynamics!$C$12,0,SQRT(ABS(BW40-Aerodynamics!$C$12)/Aerodynamics!$C$13))</f>
        <v>0.1460593486680444</v>
      </c>
      <c r="BX42" s="9">
        <f>IF(BX40&lt;Aerodynamics!$C$12,0,SQRT(ABS(BX40-Aerodynamics!$C$12)/Aerodynamics!$C$13))</f>
        <v>0.14832396974191336</v>
      </c>
      <c r="BY42" s="9">
        <f>IF(BY40&lt;Aerodynamics!$C$12,0,SQRT(ABS(BY40-Aerodynamics!$C$12)/Aerodynamics!$C$13))</f>
        <v>0.15055453054181631</v>
      </c>
      <c r="BZ42" s="9">
        <f>IF(BZ40&lt;Aerodynamics!$C$12,0,SQRT(ABS(BZ40-Aerodynamics!$C$12)/Aerodynamics!$C$13))</f>
        <v>0.15275252316519478</v>
      </c>
      <c r="CA42" s="9">
        <f>IF(CA40&lt;Aerodynamics!$C$12,0,SQRT(ABS(CA40-Aerodynamics!$C$12)/Aerodynamics!$C$13))</f>
        <v>0.15491933384829679</v>
      </c>
      <c r="CB42" s="9">
        <f>IF(CB40&lt;Aerodynamics!$C$12,0,SQRT(ABS(CB40-Aerodynamics!$C$12)/Aerodynamics!$C$13))</f>
        <v>0.15705625319186339</v>
      </c>
      <c r="CC42" s="9">
        <f>IF(CC40&lt;Aerodynamics!$C$12,0,SQRT(ABS(CC40-Aerodynamics!$C$12)/Aerodynamics!$C$13))</f>
        <v>0.15916448515084441</v>
      </c>
      <c r="CD42" s="9">
        <f>IF(CD40&lt;Aerodynamics!$C$12,0,SQRT(ABS(CD40-Aerodynamics!$C$12)/Aerodynamics!$C$13))</f>
        <v>0.16124515496597111</v>
      </c>
      <c r="CE42" s="9">
        <f>IF(CE40&lt;Aerodynamics!$C$12,0,SQRT(ABS(CE40-Aerodynamics!$C$12)/Aerodynamics!$C$13))</f>
        <v>0.16329931618554533</v>
      </c>
      <c r="CF42" s="9">
        <f>IF(CF40&lt;Aerodynamics!$C$12,0,SQRT(ABS(CF40-Aerodynamics!$C$12)/Aerodynamics!$C$13))</f>
        <v>0.16532795690183005</v>
      </c>
      <c r="CG42" s="9">
        <f>IF(CG40&lt;Aerodynamics!$C$12,0,SQRT(ABS(CG40-Aerodynamics!$C$12)/Aerodynamics!$C$13))</f>
        <v>0.16733200530681522</v>
      </c>
      <c r="CH42" s="9">
        <f>IF(CH40&lt;Aerodynamics!$C$12,0,SQRT(ABS(CH40-Aerodynamics!$C$12)/Aerodynamics!$C$13))</f>
        <v>0.16931233465600404</v>
      </c>
      <c r="CI42" s="9">
        <f>IF(CI40&lt;Aerodynamics!$C$12,0,SQRT(ABS(CI40-Aerodynamics!$C$12)/Aerodynamics!$C$13))</f>
        <v>0.17126976771553518</v>
      </c>
      <c r="CJ42" s="9">
        <f>IF(CJ40&lt;Aerodynamics!$C$12,0,SQRT(ABS(CJ40-Aerodynamics!$C$12)/Aerodynamics!$C$13))</f>
        <v>0.17320508075688784</v>
      </c>
      <c r="CK42" s="9">
        <f>IF(CK40&lt;Aerodynamics!$C$12,0,SQRT(ABS(CK40-Aerodynamics!$C$12)/Aerodynamics!$C$13))</f>
        <v>0.17511900715418274</v>
      </c>
      <c r="CL42" s="9">
        <f>IF(CL40&lt;Aerodynamics!$C$12,0,SQRT(ABS(CL40-Aerodynamics!$C$12)/Aerodynamics!$C$13))</f>
        <v>0.17701224063135682</v>
      </c>
      <c r="CM42" s="9">
        <f>IF(CM40&lt;Aerodynamics!$C$12,0,SQRT(ABS(CM40-Aerodynamics!$C$12)/Aerodynamics!$C$13))</f>
        <v>0.17888543819998329</v>
      </c>
      <c r="CN42" s="9">
        <f>IF(CN40&lt;Aerodynamics!$C$12,0,SQRT(ABS(CN40-Aerodynamics!$C$12)/Aerodynamics!$C$13))</f>
        <v>0.18073922282301291</v>
      </c>
      <c r="CO42" s="9">
        <f>IF(CO40&lt;Aerodynamics!$C$12,0,SQRT(ABS(CO40-Aerodynamics!$C$12)/Aerodynamics!$C$13))</f>
        <v>0.1825741858350555</v>
      </c>
      <c r="CP42" s="4"/>
    </row>
    <row r="43" spans="1:94" ht="13.8" x14ac:dyDescent="0.3">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5" t="s">
        <v>682</v>
      </c>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row>
  </sheetData>
  <mergeCells count="9">
    <mergeCell ref="E14:G14"/>
    <mergeCell ref="E15:G15"/>
    <mergeCell ref="E16:G16"/>
    <mergeCell ref="E7:G7"/>
    <mergeCell ref="E9:G9"/>
    <mergeCell ref="E10:G10"/>
    <mergeCell ref="E11:G11"/>
    <mergeCell ref="E12:G12"/>
    <mergeCell ref="E13:G13"/>
  </mergeCell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84"/>
  <sheetViews>
    <sheetView topLeftCell="H56" zoomScale="87" zoomScaleNormal="87" workbookViewId="0">
      <selection activeCell="I14" sqref="I14"/>
    </sheetView>
  </sheetViews>
  <sheetFormatPr defaultRowHeight="12" x14ac:dyDescent="0.2"/>
  <cols>
    <col min="1" max="1" width="21.33203125" customWidth="1"/>
  </cols>
  <sheetData>
    <row r="1" spans="1:30" ht="13.8" x14ac:dyDescent="0.3">
      <c r="A1" s="2" t="s">
        <v>373</v>
      </c>
      <c r="B1" s="4"/>
      <c r="C1" s="4"/>
      <c r="D1" s="4"/>
      <c r="E1" s="4"/>
      <c r="F1" s="4"/>
      <c r="G1" s="4"/>
      <c r="H1" s="4"/>
      <c r="I1" s="4"/>
      <c r="J1" s="4"/>
      <c r="K1" s="4"/>
      <c r="L1" s="4"/>
      <c r="M1" s="4"/>
      <c r="N1" s="4"/>
      <c r="O1" s="4"/>
      <c r="P1" s="4"/>
      <c r="Q1" s="4"/>
      <c r="R1" s="4"/>
      <c r="S1" s="4"/>
      <c r="T1" s="4"/>
      <c r="U1" s="4"/>
      <c r="V1" s="4"/>
      <c r="W1" s="4"/>
      <c r="X1" s="4"/>
      <c r="Y1" s="4"/>
      <c r="Z1" s="4"/>
      <c r="AA1" s="4"/>
      <c r="AB1" s="4"/>
      <c r="AC1" s="4"/>
      <c r="AD1" s="4"/>
    </row>
    <row r="2" spans="1:30" ht="13.8" x14ac:dyDescent="0.3">
      <c r="A2" s="5" t="s">
        <v>374</v>
      </c>
      <c r="B2" s="4"/>
      <c r="C2" s="4"/>
      <c r="D2" s="4"/>
      <c r="E2" s="4"/>
      <c r="F2" s="4"/>
      <c r="G2" s="4"/>
      <c r="H2" s="4"/>
      <c r="I2" s="4"/>
      <c r="J2" s="4"/>
      <c r="K2" s="4"/>
      <c r="L2" s="4"/>
      <c r="M2" s="4"/>
      <c r="N2" s="4"/>
      <c r="O2" s="4"/>
      <c r="P2" s="4"/>
      <c r="Q2" s="4"/>
      <c r="R2" s="4"/>
      <c r="S2" s="4"/>
      <c r="T2" s="4"/>
      <c r="U2" s="4"/>
      <c r="V2" s="4"/>
      <c r="W2" s="4"/>
      <c r="X2" s="4"/>
      <c r="Y2" s="4"/>
      <c r="Z2" s="4"/>
      <c r="AA2" s="4"/>
      <c r="AB2" s="4"/>
      <c r="AC2" s="4"/>
      <c r="AD2" s="4"/>
    </row>
    <row r="3" spans="1:30" ht="13.8" x14ac:dyDescent="0.3">
      <c r="A3" s="4"/>
      <c r="B3" s="4"/>
      <c r="C3" s="4"/>
      <c r="D3" s="4"/>
      <c r="E3" s="4"/>
      <c r="F3" s="4"/>
      <c r="G3" s="4"/>
      <c r="H3" s="4"/>
      <c r="I3" s="4"/>
      <c r="J3" s="4"/>
      <c r="K3" s="4"/>
      <c r="L3" s="4"/>
      <c r="M3" s="4"/>
      <c r="N3" s="4"/>
      <c r="O3" s="4"/>
      <c r="P3" s="4"/>
      <c r="Q3" s="4"/>
      <c r="R3" s="4"/>
      <c r="S3" s="4"/>
      <c r="T3" s="4"/>
      <c r="U3" s="4"/>
      <c r="V3" s="4"/>
      <c r="W3" s="4"/>
      <c r="X3" s="4"/>
      <c r="Y3" s="4"/>
      <c r="Z3" s="4"/>
      <c r="AA3" s="4"/>
      <c r="AB3" s="4"/>
      <c r="AC3" s="4"/>
      <c r="AD3" s="4"/>
    </row>
    <row r="4" spans="1:30" ht="13.8" x14ac:dyDescent="0.3">
      <c r="A4" s="2" t="s">
        <v>203</v>
      </c>
      <c r="B4" s="4"/>
      <c r="C4" s="4"/>
      <c r="D4" s="4"/>
      <c r="E4" s="2" t="s">
        <v>204</v>
      </c>
      <c r="F4" s="3"/>
      <c r="G4" s="4"/>
      <c r="H4" s="4"/>
      <c r="I4" s="4"/>
      <c r="J4" s="4"/>
      <c r="K4" s="4"/>
      <c r="L4" s="4"/>
      <c r="M4" s="4"/>
      <c r="N4" s="4"/>
      <c r="O4" s="4"/>
      <c r="P4" s="4"/>
      <c r="Q4" s="4"/>
      <c r="R4" s="4"/>
      <c r="S4" s="4"/>
      <c r="T4" s="4"/>
      <c r="U4" s="4"/>
      <c r="V4" s="4"/>
      <c r="W4" s="4"/>
      <c r="X4" s="4"/>
      <c r="Y4" s="4"/>
      <c r="Z4" s="4"/>
      <c r="AA4" s="4"/>
      <c r="AB4" s="4"/>
      <c r="AC4" s="4"/>
      <c r="AD4" s="4"/>
    </row>
    <row r="5" spans="1:30" ht="13.8" x14ac:dyDescent="0.3">
      <c r="A5" s="5" t="s">
        <v>375</v>
      </c>
      <c r="B5" s="4"/>
      <c r="C5" s="4"/>
      <c r="D5" s="4"/>
      <c r="E5" s="4"/>
      <c r="F5" s="4"/>
      <c r="G5" s="4"/>
      <c r="H5" s="4"/>
      <c r="I5" s="4"/>
      <c r="J5" s="4"/>
      <c r="K5" s="4"/>
      <c r="L5" s="4"/>
      <c r="M5" s="4"/>
      <c r="N5" s="4"/>
      <c r="O5" s="4"/>
      <c r="P5" s="4"/>
      <c r="Q5" s="4"/>
      <c r="R5" s="4"/>
      <c r="S5" s="4"/>
      <c r="T5" s="4"/>
      <c r="U5" s="4"/>
      <c r="V5" s="4"/>
      <c r="W5" s="4"/>
      <c r="X5" s="4"/>
      <c r="Y5" s="4"/>
      <c r="Z5" s="4"/>
      <c r="AA5" s="4"/>
      <c r="AB5" s="4"/>
      <c r="AC5" s="4"/>
      <c r="AD5" s="4"/>
    </row>
    <row r="6" spans="1:30" ht="14.4" thickBot="1" x14ac:dyDescent="0.35">
      <c r="A6" s="4"/>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13.8" x14ac:dyDescent="0.3">
      <c r="A7" s="55" t="s">
        <v>376</v>
      </c>
      <c r="B7" s="56" t="s">
        <v>377</v>
      </c>
      <c r="C7" s="64">
        <v>4500</v>
      </c>
      <c r="D7" s="4"/>
      <c r="E7" s="8" t="s">
        <v>378</v>
      </c>
      <c r="F7" s="10"/>
      <c r="G7" s="10"/>
      <c r="H7" s="8" t="s">
        <v>379</v>
      </c>
      <c r="I7" s="11">
        <f>Mission!$C$19</f>
        <v>0</v>
      </c>
      <c r="J7" s="4"/>
      <c r="K7" s="4"/>
      <c r="L7" s="4"/>
      <c r="M7" s="4"/>
      <c r="N7" s="4"/>
      <c r="O7" s="4"/>
      <c r="P7" s="4"/>
      <c r="Q7" s="4"/>
      <c r="R7" s="4"/>
      <c r="S7" s="4"/>
      <c r="T7" s="4"/>
      <c r="U7" s="4"/>
      <c r="V7" s="4"/>
      <c r="W7" s="4"/>
      <c r="X7" s="4"/>
      <c r="Y7" s="4"/>
      <c r="Z7" s="4"/>
      <c r="AA7" s="4"/>
      <c r="AB7" s="4"/>
      <c r="AC7" s="4"/>
      <c r="AD7" s="4"/>
    </row>
    <row r="8" spans="1:30" ht="15" x14ac:dyDescent="0.35">
      <c r="A8" s="58" t="s">
        <v>721</v>
      </c>
      <c r="B8" s="8" t="s">
        <v>380</v>
      </c>
      <c r="C8" s="65">
        <v>1.5</v>
      </c>
      <c r="D8" s="4"/>
      <c r="E8" s="8" t="s">
        <v>381</v>
      </c>
      <c r="F8" s="10"/>
      <c r="G8" s="10"/>
      <c r="H8" s="8" t="s">
        <v>382</v>
      </c>
      <c r="I8" s="11">
        <f>Atmosphere!$G18/Atmosphere!$E$11</f>
        <v>1.0000016421079598</v>
      </c>
      <c r="J8" s="4"/>
      <c r="K8" s="4"/>
      <c r="L8" s="4"/>
      <c r="M8" s="4"/>
      <c r="N8" s="4"/>
      <c r="O8" s="4"/>
      <c r="P8" s="4"/>
      <c r="Q8" s="4"/>
      <c r="R8" s="4"/>
      <c r="S8" s="4"/>
      <c r="T8" s="4"/>
      <c r="U8" s="4"/>
      <c r="V8" s="4"/>
      <c r="W8" s="4"/>
      <c r="X8" s="4"/>
      <c r="Y8" s="4"/>
      <c r="Z8" s="4"/>
      <c r="AA8" s="4"/>
      <c r="AB8" s="4"/>
      <c r="AC8" s="4"/>
      <c r="AD8" s="4"/>
    </row>
    <row r="9" spans="1:30" ht="15" x14ac:dyDescent="0.35">
      <c r="A9" s="58" t="s">
        <v>724</v>
      </c>
      <c r="B9" s="8" t="s">
        <v>383</v>
      </c>
      <c r="C9" s="128">
        <v>7.4999999999999997E-3</v>
      </c>
      <c r="D9" s="4"/>
      <c r="E9" s="4"/>
      <c r="F9" s="4"/>
      <c r="G9" s="4"/>
      <c r="H9" s="4"/>
      <c r="I9" s="4"/>
      <c r="J9" s="4"/>
      <c r="K9" s="4"/>
      <c r="L9" s="4"/>
      <c r="M9" s="4"/>
      <c r="N9" s="4"/>
      <c r="O9" s="4"/>
      <c r="P9" s="4"/>
      <c r="Q9" s="4"/>
      <c r="R9" s="4"/>
      <c r="S9" s="4"/>
      <c r="T9" s="4"/>
      <c r="U9" s="4"/>
      <c r="V9" s="4"/>
      <c r="W9" s="4"/>
      <c r="X9" s="4"/>
      <c r="Y9" s="4"/>
      <c r="Z9" s="4"/>
      <c r="AA9" s="4"/>
      <c r="AB9" s="4"/>
      <c r="AC9" s="4"/>
      <c r="AD9" s="4"/>
    </row>
    <row r="10" spans="1:30" ht="15" x14ac:dyDescent="0.35">
      <c r="A10" s="58" t="s">
        <v>725</v>
      </c>
      <c r="B10" s="8" t="s">
        <v>384</v>
      </c>
      <c r="C10" s="128">
        <v>1.4999999999999999E-2</v>
      </c>
      <c r="D10" s="4"/>
      <c r="E10" s="4"/>
      <c r="F10" s="4"/>
      <c r="G10" s="4"/>
      <c r="H10" s="4"/>
      <c r="I10" s="4"/>
      <c r="J10" s="4"/>
      <c r="K10" s="4"/>
      <c r="L10" s="4"/>
      <c r="M10" s="4"/>
      <c r="N10" s="4"/>
      <c r="O10" s="4"/>
      <c r="P10" s="4"/>
      <c r="Q10" s="4"/>
      <c r="R10" s="4"/>
      <c r="S10" s="4"/>
      <c r="T10" s="4"/>
      <c r="U10" s="4"/>
      <c r="V10" s="4"/>
      <c r="W10" s="4"/>
      <c r="X10" s="4"/>
      <c r="Y10" s="4"/>
      <c r="Z10" s="4"/>
      <c r="AA10" s="4"/>
      <c r="AB10" s="4"/>
      <c r="AC10" s="4"/>
      <c r="AD10" s="4"/>
    </row>
    <row r="11" spans="1:30" ht="13.8" x14ac:dyDescent="0.3">
      <c r="A11" s="95"/>
      <c r="B11" s="10"/>
      <c r="C11" s="66"/>
      <c r="D11" s="4"/>
      <c r="E11" s="4"/>
      <c r="F11" s="4"/>
      <c r="G11" s="4"/>
      <c r="H11" s="4"/>
      <c r="I11" s="4"/>
      <c r="J11" s="4"/>
      <c r="K11" s="4"/>
      <c r="L11" s="4"/>
      <c r="M11" s="4"/>
      <c r="N11" s="4"/>
      <c r="O11" s="4"/>
      <c r="P11" s="4"/>
      <c r="Q11" s="4"/>
      <c r="R11" s="4"/>
      <c r="S11" s="4"/>
      <c r="T11" s="4"/>
      <c r="U11" s="4"/>
      <c r="V11" s="4"/>
      <c r="W11" s="4"/>
      <c r="X11" s="4"/>
      <c r="Y11" s="4"/>
      <c r="Z11" s="4"/>
      <c r="AA11" s="4"/>
      <c r="AB11" s="4"/>
      <c r="AC11" s="4"/>
      <c r="AD11" s="4"/>
    </row>
    <row r="12" spans="1:30" ht="13.8" x14ac:dyDescent="0.3">
      <c r="A12" s="58" t="s">
        <v>385</v>
      </c>
      <c r="B12" s="10"/>
      <c r="C12" s="66"/>
      <c r="D12" s="4"/>
      <c r="E12" s="4"/>
      <c r="F12" s="4"/>
      <c r="G12" s="4"/>
      <c r="H12" s="4"/>
      <c r="I12" s="4"/>
      <c r="J12" s="4"/>
      <c r="K12" s="4"/>
      <c r="L12" s="4"/>
      <c r="M12" s="4"/>
      <c r="N12" s="4"/>
      <c r="O12" s="4"/>
      <c r="P12" s="4"/>
      <c r="Q12" s="4"/>
      <c r="R12" s="4"/>
      <c r="S12" s="4"/>
      <c r="T12" s="4"/>
      <c r="U12" s="4"/>
      <c r="V12" s="4"/>
      <c r="W12" s="4"/>
      <c r="X12" s="4"/>
      <c r="Y12" s="4"/>
      <c r="Z12" s="4"/>
      <c r="AA12" s="4"/>
      <c r="AB12" s="4"/>
      <c r="AC12" s="4"/>
      <c r="AD12" s="4"/>
    </row>
    <row r="13" spans="1:30" ht="15" x14ac:dyDescent="0.35">
      <c r="A13" s="58" t="s">
        <v>722</v>
      </c>
      <c r="B13" s="8" t="s">
        <v>386</v>
      </c>
      <c r="C13" s="65">
        <v>2</v>
      </c>
      <c r="D13" s="4"/>
      <c r="E13" s="8" t="s">
        <v>387</v>
      </c>
      <c r="F13" s="10"/>
      <c r="G13" s="10"/>
      <c r="H13" s="8" t="s">
        <v>388</v>
      </c>
      <c r="I13" s="11">
        <f>Mission!C82/Mission!C68</f>
        <v>0.6562052894953353</v>
      </c>
      <c r="J13" s="4"/>
      <c r="K13" s="4"/>
      <c r="L13" s="4"/>
      <c r="M13" s="4"/>
      <c r="N13" s="4"/>
      <c r="O13" s="4"/>
      <c r="P13" s="4"/>
      <c r="Q13" s="4"/>
      <c r="R13" s="4"/>
      <c r="S13" s="4"/>
      <c r="T13" s="4"/>
      <c r="U13" s="4"/>
      <c r="V13" s="4"/>
      <c r="W13" s="4"/>
      <c r="X13" s="4"/>
      <c r="Y13" s="4"/>
      <c r="Z13" s="4"/>
      <c r="AA13" s="4"/>
      <c r="AB13" s="4"/>
      <c r="AC13" s="4"/>
      <c r="AD13" s="4"/>
    </row>
    <row r="14" spans="1:30" ht="15" x14ac:dyDescent="0.35">
      <c r="A14" s="58" t="s">
        <v>723</v>
      </c>
      <c r="B14" s="8" t="s">
        <v>389</v>
      </c>
      <c r="C14" s="128">
        <v>2.5000000000000001E-2</v>
      </c>
      <c r="D14" s="4"/>
      <c r="E14" s="8" t="s">
        <v>390</v>
      </c>
      <c r="F14" s="10"/>
      <c r="G14" s="10"/>
      <c r="H14" s="8" t="s">
        <v>391</v>
      </c>
      <c r="I14" s="11">
        <f>0.00847*$I$8*$C$13*($C$7-400)/LANDWEIT</f>
        <v>105.84205150857743</v>
      </c>
      <c r="J14" s="5" t="s">
        <v>392</v>
      </c>
      <c r="K14" s="4"/>
      <c r="L14" s="4"/>
      <c r="M14" s="4"/>
      <c r="N14" s="4"/>
      <c r="O14" s="4"/>
      <c r="P14" s="4"/>
      <c r="Q14" s="4"/>
      <c r="R14" s="4"/>
      <c r="S14" s="4"/>
      <c r="T14" s="4"/>
      <c r="U14" s="4"/>
      <c r="V14" s="4"/>
      <c r="W14" s="4"/>
      <c r="X14" s="4"/>
      <c r="Y14" s="4"/>
      <c r="Z14" s="4"/>
      <c r="AA14" s="4"/>
      <c r="AB14" s="4"/>
      <c r="AC14" s="4"/>
      <c r="AD14" s="4"/>
    </row>
    <row r="15" spans="1:30" ht="13.8" x14ac:dyDescent="0.3">
      <c r="A15" s="95"/>
      <c r="B15" s="10"/>
      <c r="C15" s="66"/>
      <c r="D15" s="4"/>
      <c r="E15" s="4"/>
      <c r="F15" s="4"/>
      <c r="G15" s="4"/>
      <c r="H15" s="4"/>
      <c r="I15" s="4"/>
      <c r="J15" s="4"/>
      <c r="K15" s="4"/>
      <c r="L15" s="4"/>
      <c r="M15" s="4"/>
      <c r="N15" s="4"/>
      <c r="O15" s="4"/>
      <c r="P15" s="4"/>
      <c r="Q15" s="4"/>
      <c r="R15" s="4"/>
      <c r="S15" s="4"/>
      <c r="T15" s="4"/>
      <c r="U15" s="4"/>
      <c r="V15" s="4"/>
      <c r="W15" s="4"/>
      <c r="X15" s="4"/>
      <c r="Y15" s="4"/>
      <c r="Z15" s="4"/>
      <c r="AA15" s="4"/>
      <c r="AB15" s="4"/>
      <c r="AC15" s="4"/>
      <c r="AD15" s="4"/>
    </row>
    <row r="16" spans="1:30" ht="13.8" x14ac:dyDescent="0.3">
      <c r="A16" s="58" t="s">
        <v>393</v>
      </c>
      <c r="B16" s="10"/>
      <c r="C16" s="66"/>
      <c r="D16" s="4"/>
      <c r="E16" s="4"/>
      <c r="F16" s="4"/>
      <c r="G16" s="4"/>
      <c r="H16" s="4"/>
      <c r="I16" s="4"/>
      <c r="J16" s="4"/>
      <c r="K16" s="4"/>
      <c r="L16" s="4"/>
      <c r="M16" s="4"/>
      <c r="N16" s="4"/>
      <c r="O16" s="4"/>
      <c r="P16" s="4"/>
      <c r="Q16" s="4"/>
      <c r="R16" s="4"/>
      <c r="S16" s="4"/>
      <c r="T16" s="4"/>
      <c r="U16" s="4"/>
      <c r="V16" s="4"/>
      <c r="W16" s="4"/>
      <c r="X16" s="4"/>
      <c r="Y16" s="4"/>
      <c r="Z16" s="4"/>
      <c r="AA16" s="4"/>
      <c r="AB16" s="4"/>
      <c r="AC16" s="4"/>
      <c r="AD16" s="4"/>
    </row>
    <row r="17" spans="1:30" ht="13.8" x14ac:dyDescent="0.3">
      <c r="A17" s="58" t="s">
        <v>394</v>
      </c>
      <c r="B17" s="8" t="s">
        <v>395</v>
      </c>
      <c r="C17" s="65">
        <v>3</v>
      </c>
      <c r="D17" s="5" t="s">
        <v>396</v>
      </c>
      <c r="E17" s="4"/>
      <c r="F17" s="4"/>
      <c r="G17" s="4"/>
      <c r="H17" s="4"/>
      <c r="I17" s="4"/>
      <c r="J17" s="4"/>
      <c r="K17" s="4"/>
      <c r="L17" s="4"/>
      <c r="M17" s="4"/>
      <c r="N17" s="4"/>
      <c r="O17" s="4"/>
      <c r="P17" s="4"/>
      <c r="Q17" s="4"/>
      <c r="R17" s="4"/>
      <c r="S17" s="4"/>
      <c r="T17" s="4"/>
      <c r="U17" s="4"/>
      <c r="V17" s="4"/>
      <c r="W17" s="4"/>
      <c r="X17" s="4"/>
      <c r="Y17" s="4"/>
      <c r="Z17" s="4"/>
      <c r="AA17" s="4"/>
      <c r="AB17" s="4"/>
      <c r="AC17" s="4"/>
      <c r="AD17" s="4"/>
    </row>
    <row r="18" spans="1:30" ht="13.8" x14ac:dyDescent="0.3">
      <c r="A18" s="58" t="s">
        <v>397</v>
      </c>
      <c r="B18" s="8" t="s">
        <v>398</v>
      </c>
      <c r="C18" s="65">
        <v>600</v>
      </c>
      <c r="D18" s="4"/>
      <c r="E18" s="5" t="s">
        <v>399</v>
      </c>
      <c r="F18" s="4"/>
      <c r="G18" s="4"/>
      <c r="H18" s="4"/>
      <c r="I18" s="4"/>
      <c r="J18" s="4"/>
      <c r="K18" s="4"/>
      <c r="L18" s="4"/>
      <c r="M18" s="4"/>
      <c r="N18" s="4"/>
      <c r="O18" s="4"/>
      <c r="P18" s="4"/>
      <c r="Q18" s="4"/>
      <c r="R18" s="4"/>
      <c r="S18" s="4"/>
      <c r="T18" s="4"/>
      <c r="U18" s="4"/>
      <c r="V18" s="4"/>
      <c r="W18" s="4"/>
      <c r="X18" s="4"/>
      <c r="Y18" s="4"/>
      <c r="Z18" s="4"/>
      <c r="AA18" s="4"/>
      <c r="AB18" s="4"/>
      <c r="AC18" s="4"/>
      <c r="AD18" s="4"/>
    </row>
    <row r="19" spans="1:30" ht="15.6" thickBot="1" x14ac:dyDescent="0.4">
      <c r="A19" s="61" t="s">
        <v>726</v>
      </c>
      <c r="B19" s="62" t="s">
        <v>400</v>
      </c>
      <c r="C19" s="73">
        <v>2</v>
      </c>
      <c r="D19" s="4"/>
      <c r="E19" s="4"/>
      <c r="F19" s="4"/>
      <c r="G19" s="4"/>
      <c r="H19" s="4"/>
      <c r="I19" s="4"/>
      <c r="J19" s="4"/>
      <c r="K19" s="4"/>
      <c r="L19" s="4"/>
      <c r="M19" s="4"/>
      <c r="N19" s="4"/>
      <c r="O19" s="4"/>
      <c r="P19" s="4"/>
      <c r="Q19" s="4"/>
      <c r="R19" s="4"/>
      <c r="S19" s="4"/>
      <c r="T19" s="4"/>
      <c r="U19" s="4"/>
      <c r="V19" s="4"/>
      <c r="W19" s="4"/>
      <c r="X19" s="4"/>
      <c r="Y19" s="4"/>
      <c r="Z19" s="4"/>
      <c r="AA19" s="4"/>
      <c r="AB19" s="4"/>
      <c r="AC19" s="4"/>
      <c r="AD19" s="4"/>
    </row>
    <row r="20" spans="1:30" ht="14.4" thickBot="1" x14ac:dyDescent="0.35">
      <c r="A20" s="19"/>
      <c r="B20" s="19"/>
      <c r="C20" s="20"/>
      <c r="D20" s="4"/>
      <c r="E20" s="4"/>
      <c r="F20" s="4"/>
      <c r="G20" s="4"/>
      <c r="H20" s="4"/>
      <c r="I20" s="4"/>
      <c r="J20" s="4"/>
      <c r="K20" s="4"/>
      <c r="L20" s="4"/>
      <c r="M20" s="4"/>
      <c r="N20" s="4"/>
      <c r="O20" s="4"/>
      <c r="P20" s="4"/>
      <c r="Q20" s="4"/>
      <c r="R20" s="4"/>
      <c r="S20" s="4"/>
      <c r="T20" s="4"/>
      <c r="U20" s="4"/>
      <c r="V20" s="4"/>
      <c r="W20" s="4"/>
      <c r="X20" s="4"/>
      <c r="Y20" s="4"/>
      <c r="Z20" s="4"/>
      <c r="AA20" s="4"/>
      <c r="AB20" s="4"/>
      <c r="AC20" s="4"/>
      <c r="AD20" s="4"/>
    </row>
    <row r="21" spans="1:30" ht="15" customHeight="1" x14ac:dyDescent="0.3">
      <c r="A21" s="116"/>
      <c r="B21" s="117"/>
      <c r="C21" s="192" t="s">
        <v>403</v>
      </c>
      <c r="D21" s="118"/>
      <c r="E21" s="192" t="s">
        <v>751</v>
      </c>
      <c r="F21" s="118"/>
      <c r="G21" s="119"/>
      <c r="H21" s="118"/>
      <c r="I21" s="119"/>
      <c r="J21" s="118"/>
      <c r="K21" s="192" t="s">
        <v>718</v>
      </c>
      <c r="L21" s="118"/>
      <c r="M21" s="192" t="s">
        <v>719</v>
      </c>
      <c r="N21" s="118"/>
      <c r="O21" s="195" t="s">
        <v>753</v>
      </c>
      <c r="P21" s="118"/>
      <c r="Q21" s="192" t="s">
        <v>752</v>
      </c>
      <c r="R21" s="118"/>
      <c r="S21" s="120" t="s">
        <v>402</v>
      </c>
      <c r="T21" s="118"/>
      <c r="U21" s="187" t="s">
        <v>754</v>
      </c>
      <c r="V21" s="4"/>
      <c r="W21" s="4"/>
      <c r="X21" s="4"/>
      <c r="Y21" s="4"/>
      <c r="Z21" s="4"/>
      <c r="AA21" s="4"/>
      <c r="AB21" s="4"/>
      <c r="AC21" s="4"/>
      <c r="AD21" s="4"/>
    </row>
    <row r="22" spans="1:30" ht="15" customHeight="1" x14ac:dyDescent="0.3">
      <c r="A22" s="121"/>
      <c r="B22" s="25"/>
      <c r="C22" s="193"/>
      <c r="D22" s="25"/>
      <c r="E22" s="193"/>
      <c r="F22" s="25"/>
      <c r="G22" s="26" t="s">
        <v>405</v>
      </c>
      <c r="H22" s="25"/>
      <c r="I22" s="26" t="s">
        <v>398</v>
      </c>
      <c r="J22" s="25"/>
      <c r="K22" s="193"/>
      <c r="L22" s="25"/>
      <c r="M22" s="193"/>
      <c r="N22" s="25"/>
      <c r="O22" s="196"/>
      <c r="P22" s="25"/>
      <c r="Q22" s="193"/>
      <c r="R22" s="25"/>
      <c r="S22" s="27"/>
      <c r="T22" s="25"/>
      <c r="U22" s="188"/>
      <c r="V22" s="4"/>
      <c r="W22" s="4"/>
      <c r="X22" s="4"/>
      <c r="Y22" s="4"/>
      <c r="Z22" s="4"/>
      <c r="AA22" s="4"/>
      <c r="AB22" s="4"/>
      <c r="AC22" s="4"/>
      <c r="AD22" s="4"/>
    </row>
    <row r="23" spans="1:30" ht="13.8" x14ac:dyDescent="0.3">
      <c r="A23" s="122" t="s">
        <v>407</v>
      </c>
      <c r="B23" s="28"/>
      <c r="C23" s="194"/>
      <c r="D23" s="28"/>
      <c r="E23" s="194"/>
      <c r="F23" s="28"/>
      <c r="G23" s="30" t="s">
        <v>225</v>
      </c>
      <c r="H23" s="28"/>
      <c r="I23" s="30" t="s">
        <v>409</v>
      </c>
      <c r="J23" s="28"/>
      <c r="K23" s="194"/>
      <c r="L23" s="28"/>
      <c r="M23" s="194"/>
      <c r="N23" s="28"/>
      <c r="O23" s="197"/>
      <c r="P23" s="28"/>
      <c r="Q23" s="194"/>
      <c r="R23" s="28"/>
      <c r="S23" s="29" t="s">
        <v>409</v>
      </c>
      <c r="T23" s="28"/>
      <c r="U23" s="189"/>
      <c r="V23" s="4"/>
      <c r="W23" s="4"/>
      <c r="X23" s="4"/>
      <c r="Y23" s="4"/>
      <c r="Z23" s="4"/>
      <c r="AA23" s="4"/>
      <c r="AB23" s="4"/>
      <c r="AC23" s="4"/>
      <c r="AD23" s="4"/>
    </row>
    <row r="24" spans="1:30" ht="13.8" x14ac:dyDescent="0.3">
      <c r="A24" s="58" t="s">
        <v>410</v>
      </c>
      <c r="B24" s="8" t="s">
        <v>411</v>
      </c>
      <c r="C24" s="36">
        <v>1.8</v>
      </c>
      <c r="D24" s="8" t="s">
        <v>412</v>
      </c>
      <c r="E24" s="36">
        <v>40000</v>
      </c>
      <c r="F24" s="8" t="s">
        <v>742</v>
      </c>
      <c r="G24" s="36">
        <v>5</v>
      </c>
      <c r="H24" s="8" t="s">
        <v>413</v>
      </c>
      <c r="I24" s="36">
        <v>0</v>
      </c>
      <c r="J24" s="8" t="s">
        <v>414</v>
      </c>
      <c r="K24" s="11">
        <f>Propulsion!$C$9</f>
        <v>1</v>
      </c>
      <c r="L24" s="8" t="s">
        <v>415</v>
      </c>
      <c r="M24" s="13">
        <f>Mission!C75/Mission!C68</f>
        <v>0.67296204440091822</v>
      </c>
      <c r="N24" s="8" t="s">
        <v>416</v>
      </c>
      <c r="O24" s="14">
        <f>IF(C24&lt;1,Aerodynamics!$I$7,Aerodynamics!$C$12)</f>
        <v>0.04</v>
      </c>
      <c r="P24" s="8" t="s">
        <v>417</v>
      </c>
      <c r="Q24" s="13">
        <f>IF(C24&lt;1,Aerodynamics!$I$9,Aerodynamics!$C$13)</f>
        <v>1.5</v>
      </c>
      <c r="R24" s="8" t="s">
        <v>734</v>
      </c>
      <c r="S24" s="12">
        <f>C24*SQRT(Atmosphere!$E$3*Atmosphere!$E$4*Atmosphere!$E$5*(390+Atmosphere!$E$9-IF(+E24&lt;36089,(36089-E24)*Atmosphere!$E$6,0)))</f>
        <v>1742.5633157552697</v>
      </c>
      <c r="T24" s="8" t="s">
        <v>739</v>
      </c>
      <c r="U24" s="84">
        <f>0.7*(1-6.875/1000000*E24)^5.2561*14.7*C24^2*144</f>
        <v>885.61603929591934</v>
      </c>
      <c r="V24" s="4"/>
      <c r="W24" s="4"/>
      <c r="X24" s="4"/>
      <c r="Y24" s="4"/>
      <c r="Z24" s="4"/>
      <c r="AA24" s="4"/>
      <c r="AB24" s="4"/>
      <c r="AC24" s="4"/>
      <c r="AD24" s="4"/>
    </row>
    <row r="25" spans="1:30" ht="13.8" x14ac:dyDescent="0.3">
      <c r="A25" s="58" t="s">
        <v>418</v>
      </c>
      <c r="B25" s="8" t="s">
        <v>419</v>
      </c>
      <c r="C25" s="36">
        <v>0.8</v>
      </c>
      <c r="D25" s="8" t="s">
        <v>420</v>
      </c>
      <c r="E25" s="36">
        <v>40000</v>
      </c>
      <c r="F25" s="8" t="s">
        <v>743</v>
      </c>
      <c r="G25" s="36">
        <v>4</v>
      </c>
      <c r="H25" s="8" t="s">
        <v>421</v>
      </c>
      <c r="I25" s="36">
        <v>0</v>
      </c>
      <c r="J25" s="8" t="s">
        <v>422</v>
      </c>
      <c r="K25" s="11">
        <f>Propulsion!$C$9</f>
        <v>1</v>
      </c>
      <c r="L25" s="8" t="s">
        <v>423</v>
      </c>
      <c r="M25" s="13">
        <f>Mission!C75/Mission!C68</f>
        <v>0.67296204440091822</v>
      </c>
      <c r="N25" s="8" t="s">
        <v>424</v>
      </c>
      <c r="O25" s="14">
        <f>IF(C25&lt;1,Aerodynamics!$I$7,Aerodynamics!$C$12)</f>
        <v>1.568392190691761E-2</v>
      </c>
      <c r="P25" s="8" t="s">
        <v>425</v>
      </c>
      <c r="Q25" s="13">
        <f>IF(C25&lt;1,Aerodynamics!$I$9,Aerodynamics!$C$13)</f>
        <v>4.9735919716217297E-2</v>
      </c>
      <c r="R25" s="8" t="s">
        <v>733</v>
      </c>
      <c r="S25" s="12">
        <f>C25*SQRT(Atmosphere!$E$3*Atmosphere!$E$4*Atmosphere!$E$5*(390+Atmosphere!$E$9-IF(+E25&lt;36089,(36089-E25)*Atmosphere!$E$6,0)))</f>
        <v>774.47258478011997</v>
      </c>
      <c r="T25" s="8" t="s">
        <v>738</v>
      </c>
      <c r="U25" s="84">
        <f>0.7*(1-6.875/1000000*E25)^5.2561*14.7*C25^2*144</f>
        <v>174.93650158931743</v>
      </c>
      <c r="V25" s="4"/>
      <c r="W25" s="4"/>
      <c r="X25" s="4"/>
      <c r="Y25" s="4"/>
      <c r="Z25" s="4"/>
      <c r="AA25" s="4"/>
      <c r="AB25" s="4"/>
      <c r="AC25" s="4"/>
      <c r="AD25" s="4"/>
    </row>
    <row r="26" spans="1:30" ht="13.8" x14ac:dyDescent="0.3">
      <c r="A26" s="58" t="s">
        <v>426</v>
      </c>
      <c r="B26" s="8" t="s">
        <v>427</v>
      </c>
      <c r="C26" s="36">
        <v>1.8</v>
      </c>
      <c r="D26" s="8" t="s">
        <v>428</v>
      </c>
      <c r="E26" s="36">
        <v>40000</v>
      </c>
      <c r="F26" s="8" t="s">
        <v>744</v>
      </c>
      <c r="G26" s="36">
        <v>1</v>
      </c>
      <c r="H26" s="8" t="s">
        <v>429</v>
      </c>
      <c r="I26" s="36">
        <v>700</v>
      </c>
      <c r="J26" s="8" t="s">
        <v>430</v>
      </c>
      <c r="K26" s="11">
        <f>Propulsion!$C$9</f>
        <v>1</v>
      </c>
      <c r="L26" s="8" t="s">
        <v>431</v>
      </c>
      <c r="M26" s="13">
        <f>Mission!C75/Mission!C68</f>
        <v>0.67296204440091822</v>
      </c>
      <c r="N26" s="8" t="s">
        <v>432</v>
      </c>
      <c r="O26" s="14">
        <f>IF(C26&lt;1,Aerodynamics!$I$7,Aerodynamics!$C$12)</f>
        <v>0.04</v>
      </c>
      <c r="P26" s="8" t="s">
        <v>433</v>
      </c>
      <c r="Q26" s="13">
        <f>IF(C26&lt;1,Aerodynamics!$I$9,Aerodynamics!$C$13)</f>
        <v>1.5</v>
      </c>
      <c r="R26" s="8" t="s">
        <v>732</v>
      </c>
      <c r="S26" s="12">
        <f>C26*SQRT(Atmosphere!$E$3*Atmosphere!$E$4*Atmosphere!$E$5*(390+Atmosphere!$E$9-IF(+E26&lt;36089,(36089-E26)*Atmosphere!$E$6,0)))</f>
        <v>1742.5633157552697</v>
      </c>
      <c r="T26" s="8" t="s">
        <v>737</v>
      </c>
      <c r="U26" s="84">
        <f>0.7*(1-6.875/1000000*E26)^5.2561*14.7*C26^2*144</f>
        <v>885.61603929591934</v>
      </c>
      <c r="V26" s="4"/>
      <c r="W26" s="4"/>
      <c r="X26" s="4"/>
      <c r="Y26" s="4"/>
      <c r="Z26" s="4"/>
      <c r="AA26" s="4"/>
      <c r="AB26" s="4"/>
      <c r="AC26" s="4"/>
      <c r="AD26" s="4"/>
    </row>
    <row r="27" spans="1:30" ht="13.8" x14ac:dyDescent="0.3">
      <c r="A27" s="58" t="s">
        <v>434</v>
      </c>
      <c r="B27" s="8" t="s">
        <v>435</v>
      </c>
      <c r="C27" s="36">
        <v>1.6</v>
      </c>
      <c r="D27" s="8" t="s">
        <v>436</v>
      </c>
      <c r="E27" s="36">
        <v>30000</v>
      </c>
      <c r="F27" s="8" t="s">
        <v>745</v>
      </c>
      <c r="G27" s="36">
        <v>5</v>
      </c>
      <c r="H27" s="8" t="s">
        <v>437</v>
      </c>
      <c r="I27" s="36">
        <v>500</v>
      </c>
      <c r="J27" s="8" t="s">
        <v>438</v>
      </c>
      <c r="K27" s="11">
        <f>Propulsion!$C$9</f>
        <v>1</v>
      </c>
      <c r="L27" s="8" t="s">
        <v>439</v>
      </c>
      <c r="M27" s="13">
        <f>Mission!C75/Mission!C68</f>
        <v>0.67296204440091822</v>
      </c>
      <c r="N27" s="8" t="s">
        <v>440</v>
      </c>
      <c r="O27" s="14">
        <f>IF(C27&lt;1,Aerodynamics!$I$7,Aerodynamics!$C$12)</f>
        <v>0.04</v>
      </c>
      <c r="P27" s="8" t="s">
        <v>441</v>
      </c>
      <c r="Q27" s="13">
        <f>IF(C27&lt;1,Aerodynamics!$I$9,Aerodynamics!$C$13)</f>
        <v>1.5</v>
      </c>
      <c r="R27" s="8" t="s">
        <v>731</v>
      </c>
      <c r="S27" s="12">
        <f>C27*SQRT(Atmosphere!$E$3*Atmosphere!$E$4*Atmosphere!$E$5*(390+Atmosphere!$E$9-IF(+E27&lt;36089,(36089-E27)*Atmosphere!$E$6,0)))</f>
        <v>1591.4820414204996</v>
      </c>
      <c r="T27" s="8" t="s">
        <v>736</v>
      </c>
      <c r="U27" s="84">
        <f>0.7*(1-6.875/1000000*E27)^5.2561*14.7*C27^2*144</f>
        <v>1126.5371784091994</v>
      </c>
      <c r="V27" s="4"/>
      <c r="W27" s="4"/>
      <c r="X27" s="4"/>
      <c r="Y27" s="4"/>
      <c r="Z27" s="4"/>
      <c r="AA27" s="4"/>
      <c r="AB27" s="4"/>
      <c r="AC27" s="4"/>
      <c r="AD27" s="4"/>
    </row>
    <row r="28" spans="1:30" ht="14.4" thickBot="1" x14ac:dyDescent="0.35">
      <c r="A28" s="61" t="s">
        <v>442</v>
      </c>
      <c r="B28" s="62" t="s">
        <v>443</v>
      </c>
      <c r="C28" s="123">
        <v>0.7</v>
      </c>
      <c r="D28" s="62" t="s">
        <v>444</v>
      </c>
      <c r="E28" s="123">
        <v>30000</v>
      </c>
      <c r="F28" s="62" t="s">
        <v>746</v>
      </c>
      <c r="G28" s="123">
        <v>1</v>
      </c>
      <c r="H28" s="62" t="s">
        <v>445</v>
      </c>
      <c r="I28" s="123">
        <v>0</v>
      </c>
      <c r="J28" s="62" t="s">
        <v>446</v>
      </c>
      <c r="K28" s="106">
        <v>0.28000000000000003</v>
      </c>
      <c r="L28" s="62" t="s">
        <v>447</v>
      </c>
      <c r="M28" s="124">
        <f>Mission!C74/Mission!C68</f>
        <v>0.67296204440091822</v>
      </c>
      <c r="N28" s="62" t="s">
        <v>448</v>
      </c>
      <c r="O28" s="125">
        <f>IF(C28&lt;1,Aerodynamics!$I$7,Aerodynamics!$C$12)</f>
        <v>1.568392190691761E-2</v>
      </c>
      <c r="P28" s="62" t="s">
        <v>449</v>
      </c>
      <c r="Q28" s="124">
        <f>IF(C28&lt;1,Aerodynamics!$I$9,Aerodynamics!$C$13)</f>
        <v>4.9735919716217297E-2</v>
      </c>
      <c r="R28" s="62" t="s">
        <v>730</v>
      </c>
      <c r="S28" s="126">
        <f>C28*SQRT(Atmosphere!$E$3*Atmosphere!$E$4*Atmosphere!$E$5*(390+Atmosphere!$E$9-IF(+E28&lt;36089,(36089-E28)*Atmosphere!$E$6,0)))</f>
        <v>696.27339312146842</v>
      </c>
      <c r="T28" s="62" t="s">
        <v>735</v>
      </c>
      <c r="U28" s="127">
        <f>0.7*(1-6.875/1000000*E28)^5.2561*14.7*C28^2*144</f>
        <v>215.62625680488577</v>
      </c>
      <c r="V28" s="4"/>
      <c r="W28" s="4"/>
      <c r="X28" s="4"/>
      <c r="Y28" s="4"/>
      <c r="Z28" s="4"/>
      <c r="AA28" s="4"/>
      <c r="AB28" s="4"/>
      <c r="AC28" s="4"/>
      <c r="AD28" s="4"/>
    </row>
    <row r="29" spans="1:30" ht="13.8" x14ac:dyDescent="0.3">
      <c r="B29" s="19"/>
      <c r="C29" s="112"/>
      <c r="D29" s="19"/>
      <c r="E29" s="20"/>
      <c r="F29" s="19"/>
      <c r="G29" s="20"/>
      <c r="H29" s="19"/>
      <c r="I29" s="20"/>
      <c r="J29" s="19"/>
      <c r="K29" s="20"/>
      <c r="L29" s="19"/>
      <c r="M29" s="113"/>
      <c r="N29" s="19"/>
      <c r="O29" s="114"/>
      <c r="P29" s="19"/>
      <c r="Q29" s="113"/>
      <c r="R29" s="19"/>
      <c r="S29" s="115"/>
      <c r="T29" s="19"/>
      <c r="U29" s="113"/>
      <c r="V29" s="4"/>
      <c r="W29" s="4"/>
      <c r="X29" s="4"/>
      <c r="Y29" s="4"/>
      <c r="Z29" s="4"/>
      <c r="AA29" s="4"/>
      <c r="AB29" s="4"/>
      <c r="AC29" s="4"/>
      <c r="AD29" s="4"/>
    </row>
    <row r="30" spans="1:30" ht="13.8" x14ac:dyDescent="0.3">
      <c r="A30" s="19"/>
      <c r="B30" s="19"/>
      <c r="C30" s="112"/>
      <c r="D30" s="19"/>
      <c r="E30" s="20"/>
      <c r="F30" s="19"/>
      <c r="G30" s="20"/>
      <c r="H30" s="19"/>
      <c r="I30" s="20"/>
      <c r="J30" s="19"/>
      <c r="K30" s="20"/>
      <c r="L30" s="19"/>
      <c r="M30" s="113"/>
      <c r="N30" s="19"/>
      <c r="O30" s="114"/>
      <c r="P30" s="19"/>
      <c r="Q30" s="113"/>
      <c r="R30" s="19"/>
      <c r="S30" s="115"/>
      <c r="T30" s="19"/>
      <c r="U30" s="113"/>
      <c r="V30" s="4"/>
      <c r="W30" s="4"/>
      <c r="X30" s="4"/>
      <c r="Y30" s="4"/>
      <c r="Z30" s="4"/>
      <c r="AA30" s="4"/>
      <c r="AB30" s="4"/>
      <c r="AC30" s="4"/>
      <c r="AD30" s="4"/>
    </row>
    <row r="31" spans="1:30" ht="13.8" x14ac:dyDescent="0.3">
      <c r="A31" s="19"/>
      <c r="B31" s="19"/>
      <c r="C31" s="112"/>
      <c r="D31" s="19"/>
      <c r="E31" s="20"/>
      <c r="F31" s="19"/>
      <c r="G31" s="20"/>
      <c r="H31" s="19"/>
      <c r="I31" s="20"/>
      <c r="J31" s="19"/>
      <c r="K31" s="20"/>
      <c r="L31" s="19"/>
      <c r="M31" s="113"/>
      <c r="N31" s="19"/>
      <c r="O31" s="114"/>
      <c r="P31" s="19"/>
      <c r="Q31" s="113"/>
      <c r="R31" s="19"/>
      <c r="S31" s="115"/>
      <c r="T31" s="19"/>
      <c r="U31" s="113"/>
      <c r="V31" s="4"/>
      <c r="W31" s="4"/>
      <c r="X31" s="4"/>
      <c r="Y31" s="4"/>
      <c r="Z31" s="4"/>
      <c r="AA31" s="4"/>
      <c r="AB31" s="4"/>
      <c r="AC31" s="4"/>
      <c r="AD31" s="4"/>
    </row>
    <row r="32" spans="1:30" ht="13.8" x14ac:dyDescent="0.3">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row>
    <row r="33" spans="1:30" ht="14.4" thickBot="1" x14ac:dyDescent="0.35">
      <c r="A33" s="4"/>
      <c r="B33" s="23" t="s">
        <v>450</v>
      </c>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row>
    <row r="34" spans="1:30" ht="15" x14ac:dyDescent="0.35">
      <c r="A34" s="109" t="s">
        <v>451</v>
      </c>
      <c r="B34" s="98" t="s">
        <v>452</v>
      </c>
      <c r="C34" s="110" t="s">
        <v>693</v>
      </c>
      <c r="D34" s="98" t="s">
        <v>44</v>
      </c>
      <c r="E34" s="98" t="s">
        <v>453</v>
      </c>
      <c r="F34" s="98" t="s">
        <v>716</v>
      </c>
      <c r="G34" s="98" t="s">
        <v>717</v>
      </c>
      <c r="H34" s="98" t="s">
        <v>456</v>
      </c>
      <c r="I34" s="98" t="s">
        <v>457</v>
      </c>
      <c r="J34" s="56" t="s">
        <v>458</v>
      </c>
      <c r="K34" s="98" t="s">
        <v>718</v>
      </c>
      <c r="L34" s="98" t="s">
        <v>719</v>
      </c>
      <c r="M34" s="111" t="s">
        <v>720</v>
      </c>
      <c r="N34" s="4"/>
      <c r="O34" s="4"/>
      <c r="P34" s="4"/>
      <c r="Q34" s="4"/>
      <c r="R34" s="4"/>
      <c r="S34" s="4"/>
      <c r="T34" s="4"/>
      <c r="U34" s="4"/>
      <c r="V34" s="4"/>
      <c r="W34" s="4"/>
      <c r="X34" s="4"/>
      <c r="Y34" s="4"/>
      <c r="Z34" s="4"/>
      <c r="AA34" s="4"/>
      <c r="AB34" s="4"/>
      <c r="AC34" s="4"/>
      <c r="AD34" s="4"/>
    </row>
    <row r="35" spans="1:30" ht="13.8" x14ac:dyDescent="0.3">
      <c r="A35" s="58" t="s">
        <v>459</v>
      </c>
      <c r="B35" s="11">
        <f>Propulsion!$C$5/(Propulsion!$C$5-1)</f>
        <v>2</v>
      </c>
      <c r="C35" s="11">
        <f>Aerodynamics!$I$7+$C$9+$C$10</f>
        <v>3.8183921906917606E-2</v>
      </c>
      <c r="D35" s="11">
        <f>Baseline!$C$20</f>
        <v>8</v>
      </c>
      <c r="E35" s="11">
        <f>Aerodynamics!$C$10-0.05</f>
        <v>0.75</v>
      </c>
      <c r="F35" s="11">
        <f>$C$8/1.21</f>
        <v>1.2396694214876034</v>
      </c>
      <c r="G35" s="11">
        <f t="shared" ref="G35:G41" si="0">C35+F35^2/(PI()*D35*E35)</f>
        <v>0.11971264762163758</v>
      </c>
      <c r="H35" s="11">
        <f t="shared" ref="H35:H41" si="1">F35/G35</f>
        <v>10.355375527285039</v>
      </c>
      <c r="I35" s="11">
        <f>IF(Propulsion!$C$5&gt;2,(IF(Propulsion!$C$5&gt;3,0.5,0.3)),0)</f>
        <v>0</v>
      </c>
      <c r="J35" s="11">
        <f t="shared" ref="J35:J41" si="2">B35*(1/H35+I35/100)</f>
        <v>0.19313640482957528</v>
      </c>
      <c r="K35" s="11">
        <f>LORATIO</f>
        <v>0.75</v>
      </c>
      <c r="L35" s="11">
        <v>1</v>
      </c>
      <c r="M35" s="89">
        <f t="shared" ref="M35:M41" si="3">J35*L35/K35</f>
        <v>0.25751520643943371</v>
      </c>
      <c r="N35" s="4"/>
      <c r="O35" s="4"/>
      <c r="P35" s="4"/>
      <c r="Q35" s="4"/>
      <c r="R35" s="4"/>
      <c r="S35" s="4"/>
      <c r="T35" s="4"/>
      <c r="U35" s="4"/>
      <c r="V35" s="4"/>
      <c r="W35" s="4"/>
      <c r="X35" s="4"/>
      <c r="Y35" s="4"/>
      <c r="Z35" s="4"/>
      <c r="AA35" s="4"/>
      <c r="AB35" s="4"/>
      <c r="AC35" s="4"/>
      <c r="AD35" s="4"/>
    </row>
    <row r="36" spans="1:30" ht="15" x14ac:dyDescent="0.35">
      <c r="A36" s="58" t="s">
        <v>741</v>
      </c>
      <c r="B36" s="11">
        <f>Propulsion!$C$5/(Propulsion!$C$5-1)</f>
        <v>2</v>
      </c>
      <c r="C36" s="11">
        <f>Aerodynamics!$I$7+$C$9+$C$10</f>
        <v>3.8183921906917606E-2</v>
      </c>
      <c r="D36" s="11">
        <f>Baseline!$C$20</f>
        <v>8</v>
      </c>
      <c r="E36" s="11">
        <f>Aerodynamics!$C$10-0.05</f>
        <v>0.75</v>
      </c>
      <c r="F36" s="11">
        <f>$C$8/1.44</f>
        <v>1.0416666666666667</v>
      </c>
      <c r="G36" s="11">
        <f t="shared" si="0"/>
        <v>9.5748643800687636E-2</v>
      </c>
      <c r="H36" s="11">
        <f t="shared" si="1"/>
        <v>10.879179331615617</v>
      </c>
      <c r="I36" s="11">
        <f>IF(Propulsion!$C$5&gt;2,(IF(Propulsion!$C$5&gt;3,0.5,0.3)),0)</f>
        <v>0</v>
      </c>
      <c r="J36" s="11">
        <f t="shared" si="2"/>
        <v>0.18383739609732025</v>
      </c>
      <c r="K36" s="11">
        <f>LORATIO</f>
        <v>0.75</v>
      </c>
      <c r="L36" s="11">
        <v>1</v>
      </c>
      <c r="M36" s="89">
        <f t="shared" si="3"/>
        <v>0.24511652812976034</v>
      </c>
      <c r="N36" s="4"/>
      <c r="O36" s="4"/>
      <c r="P36" s="4"/>
      <c r="Q36" s="4"/>
      <c r="R36" s="4"/>
      <c r="S36" s="4"/>
      <c r="T36" s="4"/>
      <c r="U36" s="4"/>
      <c r="V36" s="4"/>
      <c r="W36" s="4"/>
      <c r="X36" s="4"/>
      <c r="Y36" s="4"/>
      <c r="Z36" s="4"/>
      <c r="AA36" s="4"/>
      <c r="AB36" s="4"/>
      <c r="AC36" s="4"/>
      <c r="AD36" s="4"/>
    </row>
    <row r="37" spans="1:30" ht="13.8" x14ac:dyDescent="0.3">
      <c r="A37" s="58" t="s">
        <v>460</v>
      </c>
      <c r="B37" s="11">
        <f>Propulsion!$C$5/(Propulsion!$C$5-1)</f>
        <v>2</v>
      </c>
      <c r="C37" s="11">
        <f>Aerodynamics!$I$7+$C$9</f>
        <v>2.318392190691761E-2</v>
      </c>
      <c r="D37" s="11">
        <f>Baseline!$C$20</f>
        <v>8</v>
      </c>
      <c r="E37" s="11">
        <f>Aerodynamics!$C$10-0.05</f>
        <v>0.75</v>
      </c>
      <c r="F37" s="11">
        <f>$C$8/1.44</f>
        <v>1.0416666666666667</v>
      </c>
      <c r="G37" s="11">
        <f t="shared" si="0"/>
        <v>8.0748643800687636E-2</v>
      </c>
      <c r="H37" s="11">
        <f t="shared" si="1"/>
        <v>12.900113458720357</v>
      </c>
      <c r="I37" s="11">
        <f>IF(Propulsion!$C$5&gt;2,(IF(Propulsion!$C$5&gt;3,1.7,1.5)),1.2)</f>
        <v>1.2</v>
      </c>
      <c r="J37" s="11">
        <f t="shared" si="2"/>
        <v>0.17903739609732025</v>
      </c>
      <c r="K37" s="11">
        <f>LORATIO</f>
        <v>0.75</v>
      </c>
      <c r="L37" s="11">
        <v>1</v>
      </c>
      <c r="M37" s="89">
        <f t="shared" si="3"/>
        <v>0.23871652812976032</v>
      </c>
      <c r="N37" s="4"/>
      <c r="O37" s="4"/>
      <c r="P37" s="4"/>
      <c r="Q37" s="4"/>
      <c r="R37" s="4"/>
      <c r="S37" s="4"/>
      <c r="T37" s="4"/>
      <c r="U37" s="4"/>
      <c r="V37" s="4"/>
      <c r="W37" s="4"/>
      <c r="X37" s="4"/>
      <c r="Y37" s="4"/>
      <c r="Z37" s="4"/>
      <c r="AA37" s="4"/>
      <c r="AB37" s="4"/>
      <c r="AC37" s="4"/>
      <c r="AD37" s="4"/>
    </row>
    <row r="38" spans="1:30" ht="13.8" x14ac:dyDescent="0.3">
      <c r="A38" s="58" t="s">
        <v>461</v>
      </c>
      <c r="B38" s="11">
        <f>Propulsion!$C$5/(Propulsion!$C$5-1)</f>
        <v>2</v>
      </c>
      <c r="C38" s="11">
        <f>Aerodynamics!$I$7+$C$9</f>
        <v>2.318392190691761E-2</v>
      </c>
      <c r="D38" s="11">
        <f>Baseline!$C$20</f>
        <v>8</v>
      </c>
      <c r="E38" s="11">
        <f>Aerodynamics!$C$10-0.05</f>
        <v>0.75</v>
      </c>
      <c r="F38" s="11">
        <f>$C$8/1.44</f>
        <v>1.0416666666666667</v>
      </c>
      <c r="G38" s="11">
        <f t="shared" si="0"/>
        <v>8.0748643800687636E-2</v>
      </c>
      <c r="H38" s="11">
        <f t="shared" si="1"/>
        <v>12.900113458720357</v>
      </c>
      <c r="I38" s="11">
        <f>IF(Propulsion!$C$5&gt;2,(IF(Propulsion!$C$5&gt;3,3,2.7)),2.4)</f>
        <v>2.4</v>
      </c>
      <c r="J38" s="11">
        <f t="shared" si="2"/>
        <v>0.20303739609732024</v>
      </c>
      <c r="K38" s="11">
        <f>LORATIO</f>
        <v>0.75</v>
      </c>
      <c r="L38" s="11">
        <v>1</v>
      </c>
      <c r="M38" s="89">
        <f t="shared" si="3"/>
        <v>0.27071652812976033</v>
      </c>
      <c r="N38" s="4"/>
      <c r="O38" s="4"/>
      <c r="P38" s="4"/>
      <c r="Q38" s="4"/>
      <c r="R38" s="4"/>
      <c r="S38" s="4"/>
      <c r="T38" s="4"/>
      <c r="U38" s="4"/>
      <c r="V38" s="4"/>
      <c r="W38" s="4"/>
      <c r="X38" s="4"/>
      <c r="Y38" s="4"/>
      <c r="Z38" s="4"/>
      <c r="AA38" s="4"/>
      <c r="AB38" s="4"/>
      <c r="AC38" s="4"/>
      <c r="AD38" s="4"/>
    </row>
    <row r="39" spans="1:30" ht="13.8" x14ac:dyDescent="0.3">
      <c r="A39" s="58" t="s">
        <v>462</v>
      </c>
      <c r="B39" s="11">
        <f>Propulsion!$C$5/(Propulsion!$C$5-1)</f>
        <v>2</v>
      </c>
      <c r="C39" s="11">
        <f>Aerodynamics!$I$7</f>
        <v>1.568392190691761E-2</v>
      </c>
      <c r="D39" s="11">
        <f>Baseline!$C$20</f>
        <v>8</v>
      </c>
      <c r="E39" s="11">
        <f>Aerodynamics!$C$10</f>
        <v>0.8</v>
      </c>
      <c r="F39" s="11">
        <f>$C$8/1.56</f>
        <v>0.96153846153846145</v>
      </c>
      <c r="G39" s="11">
        <f t="shared" si="0"/>
        <v>6.1667575490698387E-2</v>
      </c>
      <c r="H39" s="11">
        <f t="shared" si="1"/>
        <v>15.592285798287868</v>
      </c>
      <c r="I39" s="11">
        <f>IF(Propulsion!$C$5&gt;2,(IF(Propulsion!$C$5&gt;3,1.7,1.5)),1.2)</f>
        <v>1.2</v>
      </c>
      <c r="J39" s="11">
        <f t="shared" si="2"/>
        <v>0.15226855702065265</v>
      </c>
      <c r="K39" s="11">
        <v>0.94</v>
      </c>
      <c r="L39" s="11">
        <v>1</v>
      </c>
      <c r="M39" s="89">
        <f t="shared" si="3"/>
        <v>0.1619878266177156</v>
      </c>
      <c r="N39" s="4"/>
      <c r="O39" s="4"/>
      <c r="P39" s="4"/>
      <c r="Q39" s="4"/>
      <c r="R39" s="4"/>
      <c r="S39" s="4"/>
      <c r="T39" s="4"/>
      <c r="U39" s="4"/>
      <c r="V39" s="4"/>
      <c r="W39" s="4"/>
      <c r="X39" s="4"/>
      <c r="Y39" s="4"/>
      <c r="Z39" s="4"/>
      <c r="AA39" s="4"/>
      <c r="AB39" s="4"/>
      <c r="AC39" s="4"/>
      <c r="AD39" s="4"/>
    </row>
    <row r="40" spans="1:30" ht="13.8" x14ac:dyDescent="0.3">
      <c r="A40" s="58" t="s">
        <v>463</v>
      </c>
      <c r="B40" s="11">
        <v>1</v>
      </c>
      <c r="C40" s="11">
        <f>Aerodynamics!$I$7+$C$14+$C$10</f>
        <v>5.5683921906917608E-2</v>
      </c>
      <c r="D40" s="11">
        <f>Baseline!$C$20</f>
        <v>8</v>
      </c>
      <c r="E40" s="11">
        <f>Aerodynamics!$C$10-0.1</f>
        <v>0.70000000000000007</v>
      </c>
      <c r="F40" s="11">
        <f>$C$8/1.69</f>
        <v>0.8875739644970414</v>
      </c>
      <c r="G40" s="11">
        <f t="shared" si="0"/>
        <v>0.10046259386677853</v>
      </c>
      <c r="H40" s="11">
        <f t="shared" si="1"/>
        <v>8.8348700778524183</v>
      </c>
      <c r="I40" s="11">
        <v>3.2</v>
      </c>
      <c r="J40" s="11">
        <f t="shared" si="2"/>
        <v>0.14518785575657045</v>
      </c>
      <c r="K40" s="11">
        <f>LORATIO</f>
        <v>0.75</v>
      </c>
      <c r="L40" s="11">
        <v>0.9</v>
      </c>
      <c r="M40" s="89">
        <f t="shared" si="3"/>
        <v>0.17422542690788456</v>
      </c>
      <c r="N40" s="4"/>
      <c r="O40" s="4"/>
      <c r="P40" s="4"/>
      <c r="Q40" s="4"/>
      <c r="R40" s="4"/>
      <c r="S40" s="4"/>
      <c r="T40" s="4"/>
      <c r="U40" s="4"/>
      <c r="V40" s="4"/>
      <c r="W40" s="4"/>
      <c r="X40" s="4"/>
      <c r="Y40" s="4"/>
      <c r="Z40" s="4"/>
      <c r="AA40" s="4"/>
      <c r="AB40" s="4"/>
      <c r="AC40" s="4"/>
      <c r="AD40" s="4"/>
    </row>
    <row r="41" spans="1:30" ht="13.8" x14ac:dyDescent="0.3">
      <c r="A41" s="58" t="s">
        <v>464</v>
      </c>
      <c r="B41" s="11">
        <f>Propulsion!$C$5/(Propulsion!$C$5-1)</f>
        <v>2</v>
      </c>
      <c r="C41" s="11">
        <f>[0]!CDO+(DELCDOLD+DELCDOTO)/2</f>
        <v>3.1933921906917614E-2</v>
      </c>
      <c r="D41" s="11">
        <f>Baseline!$C$20</f>
        <v>8</v>
      </c>
      <c r="E41" s="11">
        <f>Aerodynamics!$C$10-0.1</f>
        <v>0.70000000000000007</v>
      </c>
      <c r="F41" s="11">
        <f>$C$8/2.25</f>
        <v>0.66666666666666663</v>
      </c>
      <c r="G41" s="11">
        <f t="shared" si="0"/>
        <v>5.7196611286583543E-2</v>
      </c>
      <c r="H41" s="11">
        <f t="shared" si="1"/>
        <v>11.655702176591095</v>
      </c>
      <c r="I41" s="11">
        <f>IF(Propulsion!$C$5&gt;2,(IF(Propulsion!$C$5&gt;3,2.7,2.4)),2.1)</f>
        <v>2.1</v>
      </c>
      <c r="J41" s="11">
        <f t="shared" si="2"/>
        <v>0.21358983385975067</v>
      </c>
      <c r="K41" s="11">
        <f>LORATIO</f>
        <v>0.75</v>
      </c>
      <c r="L41" s="11">
        <v>0.9</v>
      </c>
      <c r="M41" s="89">
        <f t="shared" si="3"/>
        <v>0.25630780063170083</v>
      </c>
      <c r="N41" s="4"/>
      <c r="O41" s="4"/>
      <c r="P41" s="4"/>
      <c r="Q41" s="4"/>
      <c r="R41" s="4"/>
      <c r="S41" s="4"/>
      <c r="T41" s="4"/>
      <c r="U41" s="4"/>
      <c r="V41" s="4"/>
      <c r="W41" s="4"/>
      <c r="X41" s="4"/>
      <c r="Y41" s="4"/>
      <c r="Z41" s="4"/>
      <c r="AA41" s="4"/>
      <c r="AB41" s="4"/>
      <c r="AC41" s="4"/>
      <c r="AD41" s="4"/>
    </row>
    <row r="42" spans="1:30" ht="14.4" thickBot="1" x14ac:dyDescent="0.35">
      <c r="A42" s="103"/>
      <c r="B42" s="79"/>
      <c r="C42" s="79"/>
      <c r="D42" s="79"/>
      <c r="E42" s="79"/>
      <c r="F42" s="79"/>
      <c r="G42" s="79"/>
      <c r="H42" s="79"/>
      <c r="I42" s="62" t="s">
        <v>465</v>
      </c>
      <c r="J42" s="79"/>
      <c r="K42" s="79"/>
      <c r="L42" s="62" t="s">
        <v>466</v>
      </c>
      <c r="M42" s="85">
        <f>MAX(M35:M41)</f>
        <v>0.27071652812976033</v>
      </c>
      <c r="N42" s="4"/>
      <c r="O42" s="4"/>
      <c r="P42" s="4"/>
      <c r="Q42" s="4"/>
      <c r="R42" s="4"/>
      <c r="S42" s="4"/>
      <c r="T42" s="4"/>
      <c r="U42" s="4"/>
      <c r="V42" s="4"/>
      <c r="W42" s="4"/>
      <c r="X42" s="4"/>
      <c r="Y42" s="4"/>
      <c r="Z42" s="4"/>
      <c r="AA42" s="4"/>
      <c r="AB42" s="4"/>
      <c r="AC42" s="4"/>
      <c r="AD42" s="4"/>
    </row>
    <row r="43" spans="1:30" ht="13.8" x14ac:dyDescent="0.3">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row>
    <row r="44" spans="1:30" ht="13.8" x14ac:dyDescent="0.3">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row>
    <row r="45" spans="1:30" ht="14.4" thickBot="1" x14ac:dyDescent="0.35">
      <c r="A45" s="4"/>
      <c r="B45" s="4"/>
      <c r="C45" s="4"/>
      <c r="D45" s="4"/>
      <c r="E45" s="4"/>
      <c r="F45" s="4"/>
      <c r="G45" s="4"/>
      <c r="H45" s="4"/>
      <c r="I45" s="4"/>
      <c r="J45" s="4"/>
      <c r="K45" s="4"/>
      <c r="L45" s="24" t="s">
        <v>467</v>
      </c>
      <c r="M45" s="4"/>
      <c r="N45" s="4"/>
      <c r="O45" s="4"/>
      <c r="P45" s="4"/>
      <c r="Q45" s="4"/>
      <c r="R45" s="4"/>
      <c r="S45" s="4"/>
      <c r="T45" s="4"/>
      <c r="U45" s="4"/>
      <c r="V45" s="4"/>
      <c r="W45" s="4"/>
      <c r="X45" s="4"/>
      <c r="Y45" s="4"/>
      <c r="Z45" s="4"/>
      <c r="AA45" s="4"/>
      <c r="AB45" s="4"/>
      <c r="AC45" s="4"/>
      <c r="AD45" s="4"/>
    </row>
    <row r="46" spans="1:30" ht="14.4" thickBot="1" x14ac:dyDescent="0.35">
      <c r="A46" s="4"/>
      <c r="B46" s="4"/>
      <c r="C46" s="4"/>
      <c r="D46" s="4"/>
      <c r="E46" s="4"/>
      <c r="F46" s="4"/>
      <c r="G46" s="4"/>
      <c r="H46" s="4"/>
      <c r="I46" s="4"/>
      <c r="J46" s="4"/>
      <c r="K46" s="4"/>
      <c r="L46" s="26" t="s">
        <v>468</v>
      </c>
      <c r="M46" s="4"/>
      <c r="N46" s="4"/>
      <c r="O46" s="4"/>
      <c r="P46" s="4"/>
      <c r="Q46" s="4"/>
      <c r="R46" s="4"/>
      <c r="S46" s="4"/>
      <c r="T46" s="4"/>
      <c r="U46" s="4"/>
      <c r="V46" s="4"/>
      <c r="W46" s="4"/>
      <c r="X46" s="4"/>
      <c r="Y46" s="4"/>
      <c r="Z46" s="4"/>
      <c r="AA46" s="4"/>
      <c r="AB46" s="190" t="s">
        <v>755</v>
      </c>
      <c r="AC46" s="4"/>
      <c r="AD46" s="4"/>
    </row>
    <row r="47" spans="1:30" ht="14.4" thickBot="1" x14ac:dyDescent="0.35">
      <c r="A47" s="21" t="s">
        <v>469</v>
      </c>
      <c r="B47" s="22" t="s">
        <v>470</v>
      </c>
      <c r="C47" s="107">
        <v>5</v>
      </c>
      <c r="D47" s="4"/>
      <c r="E47" s="4"/>
      <c r="F47" s="4"/>
      <c r="G47" s="4"/>
      <c r="H47" s="4"/>
      <c r="I47" s="4"/>
      <c r="J47" s="4"/>
      <c r="K47" s="4"/>
      <c r="L47" s="30" t="s">
        <v>367</v>
      </c>
      <c r="M47" s="4"/>
      <c r="N47" s="4"/>
      <c r="O47" s="4"/>
      <c r="P47" s="4"/>
      <c r="Q47" s="4"/>
      <c r="R47" s="4"/>
      <c r="S47" s="4"/>
      <c r="T47" s="4"/>
      <c r="U47" s="4"/>
      <c r="V47" s="4"/>
      <c r="W47" s="4"/>
      <c r="X47" s="4"/>
      <c r="Y47" s="4"/>
      <c r="Z47" s="144" t="s">
        <v>471</v>
      </c>
      <c r="AA47" s="4"/>
      <c r="AB47" s="191"/>
      <c r="AC47" s="4"/>
      <c r="AD47" s="4"/>
    </row>
    <row r="48" spans="1:30" ht="13.8" x14ac:dyDescent="0.3">
      <c r="A48" s="55" t="s">
        <v>472</v>
      </c>
      <c r="B48" s="92"/>
      <c r="C48" s="105">
        <f t="shared" ref="C48:K48" si="4">D48-$C$47</f>
        <v>15</v>
      </c>
      <c r="D48" s="105">
        <f t="shared" si="4"/>
        <v>20</v>
      </c>
      <c r="E48" s="105">
        <f t="shared" si="4"/>
        <v>25</v>
      </c>
      <c r="F48" s="105">
        <f t="shared" si="4"/>
        <v>30</v>
      </c>
      <c r="G48" s="105">
        <f t="shared" si="4"/>
        <v>35</v>
      </c>
      <c r="H48" s="105">
        <f t="shared" si="4"/>
        <v>40</v>
      </c>
      <c r="I48" s="105">
        <f t="shared" si="4"/>
        <v>45</v>
      </c>
      <c r="J48" s="105">
        <f t="shared" si="4"/>
        <v>50</v>
      </c>
      <c r="K48" s="105">
        <f t="shared" si="4"/>
        <v>55</v>
      </c>
      <c r="L48" s="97">
        <f>Baseline!$C$8</f>
        <v>60</v>
      </c>
      <c r="M48" s="105">
        <f t="shared" ref="M48:X48" si="5">L48+$C$47</f>
        <v>65</v>
      </c>
      <c r="N48" s="105">
        <f t="shared" si="5"/>
        <v>70</v>
      </c>
      <c r="O48" s="105">
        <f t="shared" si="5"/>
        <v>75</v>
      </c>
      <c r="P48" s="105">
        <f t="shared" si="5"/>
        <v>80</v>
      </c>
      <c r="Q48" s="105">
        <f t="shared" si="5"/>
        <v>85</v>
      </c>
      <c r="R48" s="105">
        <f t="shared" si="5"/>
        <v>90</v>
      </c>
      <c r="S48" s="105">
        <f t="shared" si="5"/>
        <v>95</v>
      </c>
      <c r="T48" s="105">
        <f t="shared" si="5"/>
        <v>100</v>
      </c>
      <c r="U48" s="105">
        <f t="shared" si="5"/>
        <v>105</v>
      </c>
      <c r="V48" s="105">
        <f t="shared" si="5"/>
        <v>110</v>
      </c>
      <c r="W48" s="105">
        <f t="shared" si="5"/>
        <v>115</v>
      </c>
      <c r="X48" s="105">
        <f t="shared" si="5"/>
        <v>120</v>
      </c>
      <c r="Y48" s="105">
        <f>$I$14</f>
        <v>105.84205150857743</v>
      </c>
      <c r="Z48" s="105">
        <f>$I$14</f>
        <v>105.84205150857743</v>
      </c>
      <c r="AA48" s="105">
        <f>$U$25*$C$19/$G$25</f>
        <v>87.468250794658715</v>
      </c>
      <c r="AB48" s="88">
        <f>$U$25*$C$19/$G$25</f>
        <v>87.468250794658715</v>
      </c>
      <c r="AC48" s="4"/>
      <c r="AD48" s="4"/>
    </row>
    <row r="49" spans="1:30" ht="13.8" x14ac:dyDescent="0.3">
      <c r="A49" s="58" t="s">
        <v>473</v>
      </c>
      <c r="B49" s="10"/>
      <c r="C49" s="11">
        <f t="shared" ref="C49:X49" si="6">IF(C48&gt;$I$14,0,1)</f>
        <v>1</v>
      </c>
      <c r="D49" s="11">
        <f t="shared" si="6"/>
        <v>1</v>
      </c>
      <c r="E49" s="11">
        <f t="shared" si="6"/>
        <v>1</v>
      </c>
      <c r="F49" s="11">
        <f t="shared" si="6"/>
        <v>1</v>
      </c>
      <c r="G49" s="11">
        <f t="shared" si="6"/>
        <v>1</v>
      </c>
      <c r="H49" s="11">
        <f t="shared" si="6"/>
        <v>1</v>
      </c>
      <c r="I49" s="11">
        <f t="shared" si="6"/>
        <v>1</v>
      </c>
      <c r="J49" s="11">
        <f t="shared" si="6"/>
        <v>1</v>
      </c>
      <c r="K49" s="11">
        <f t="shared" si="6"/>
        <v>1</v>
      </c>
      <c r="L49" s="11">
        <f t="shared" si="6"/>
        <v>1</v>
      </c>
      <c r="M49" s="11">
        <f t="shared" si="6"/>
        <v>1</v>
      </c>
      <c r="N49" s="11">
        <f t="shared" si="6"/>
        <v>1</v>
      </c>
      <c r="O49" s="11">
        <f t="shared" si="6"/>
        <v>1</v>
      </c>
      <c r="P49" s="11">
        <f t="shared" si="6"/>
        <v>1</v>
      </c>
      <c r="Q49" s="11">
        <f t="shared" si="6"/>
        <v>1</v>
      </c>
      <c r="R49" s="11">
        <f t="shared" si="6"/>
        <v>1</v>
      </c>
      <c r="S49" s="11">
        <f t="shared" si="6"/>
        <v>1</v>
      </c>
      <c r="T49" s="11">
        <f t="shared" si="6"/>
        <v>1</v>
      </c>
      <c r="U49" s="11">
        <f t="shared" si="6"/>
        <v>1</v>
      </c>
      <c r="V49" s="11">
        <f t="shared" si="6"/>
        <v>0</v>
      </c>
      <c r="W49" s="11">
        <f t="shared" si="6"/>
        <v>0</v>
      </c>
      <c r="X49" s="11">
        <f t="shared" si="6"/>
        <v>0</v>
      </c>
      <c r="Y49" s="10"/>
      <c r="Z49" s="10"/>
      <c r="AA49" s="10"/>
      <c r="AB49" s="86"/>
      <c r="AC49" s="4"/>
      <c r="AD49" s="4"/>
    </row>
    <row r="50" spans="1:30" ht="13.8" x14ac:dyDescent="0.3">
      <c r="A50" s="58" t="s">
        <v>474</v>
      </c>
      <c r="B50" s="10"/>
      <c r="C50" s="11">
        <f t="shared" ref="C50:X50" si="7">C48/($I$8*$C$8)</f>
        <v>9.9999835789473668</v>
      </c>
      <c r="D50" s="11">
        <f t="shared" si="7"/>
        <v>13.333311438596489</v>
      </c>
      <c r="E50" s="11">
        <f t="shared" si="7"/>
        <v>16.666639298245613</v>
      </c>
      <c r="F50" s="11">
        <f t="shared" si="7"/>
        <v>19.999967157894734</v>
      </c>
      <c r="G50" s="11">
        <f t="shared" si="7"/>
        <v>23.333295017543858</v>
      </c>
      <c r="H50" s="11">
        <f t="shared" si="7"/>
        <v>26.666622877192978</v>
      </c>
      <c r="I50" s="11">
        <f t="shared" si="7"/>
        <v>29.999950736842102</v>
      </c>
      <c r="J50" s="11">
        <f t="shared" si="7"/>
        <v>33.333278596491226</v>
      </c>
      <c r="K50" s="11">
        <f t="shared" si="7"/>
        <v>36.666606456140343</v>
      </c>
      <c r="L50" s="11">
        <f t="shared" si="7"/>
        <v>39.999934315789467</v>
      </c>
      <c r="M50" s="11">
        <f t="shared" si="7"/>
        <v>43.333262175438591</v>
      </c>
      <c r="N50" s="11">
        <f t="shared" si="7"/>
        <v>46.666590035087715</v>
      </c>
      <c r="O50" s="11">
        <f t="shared" si="7"/>
        <v>49.999917894736832</v>
      </c>
      <c r="P50" s="11">
        <f t="shared" si="7"/>
        <v>53.333245754385956</v>
      </c>
      <c r="Q50" s="11">
        <f t="shared" si="7"/>
        <v>56.66657361403508</v>
      </c>
      <c r="R50" s="11">
        <f t="shared" si="7"/>
        <v>59.999901473684204</v>
      </c>
      <c r="S50" s="11">
        <f t="shared" si="7"/>
        <v>63.333229333333321</v>
      </c>
      <c r="T50" s="11">
        <f t="shared" si="7"/>
        <v>66.666557192982452</v>
      </c>
      <c r="U50" s="11">
        <f t="shared" si="7"/>
        <v>69.999885052631569</v>
      </c>
      <c r="V50" s="11">
        <f t="shared" si="7"/>
        <v>73.333212912280686</v>
      </c>
      <c r="W50" s="11">
        <f t="shared" si="7"/>
        <v>76.666540771929817</v>
      </c>
      <c r="X50" s="11">
        <f t="shared" si="7"/>
        <v>79.999868631578934</v>
      </c>
      <c r="Y50" s="10"/>
      <c r="Z50" s="10"/>
      <c r="AA50" s="10"/>
      <c r="AB50" s="86"/>
      <c r="AC50" s="4"/>
      <c r="AD50" s="4"/>
    </row>
    <row r="51" spans="1:30" ht="13.8" x14ac:dyDescent="0.3">
      <c r="A51" s="95"/>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86"/>
      <c r="AC51" s="4"/>
      <c r="AD51" s="4"/>
    </row>
    <row r="52" spans="1:30" ht="13.8" x14ac:dyDescent="0.3">
      <c r="A52" s="58" t="s">
        <v>475</v>
      </c>
      <c r="B52" s="10"/>
      <c r="C52" s="11">
        <f>1/Propulsion!$C$8*20.9*C50/($C$7-87*SQRT(C50))</f>
        <v>6.5958340253226611E-2</v>
      </c>
      <c r="D52" s="11">
        <f>1/Propulsion!$C$8*20.9*D50/($C$7-87*SQRT(D50))</f>
        <v>8.8839409900662691E-2</v>
      </c>
      <c r="E52" s="11">
        <f>1/Propulsion!$C$8*20.9*E50/($C$7-87*SQRT(E50))</f>
        <v>0.11205388950756272</v>
      </c>
      <c r="F52" s="11">
        <f>1/Propulsion!$C$8*20.9*F50/($C$7-87*SQRT(F50))</f>
        <v>0.13557349917366585</v>
      </c>
      <c r="G52" s="11">
        <f>1/Propulsion!$C$8*20.9*G50/($C$7-87*SQRT(G50))</f>
        <v>0.15937767942756836</v>
      </c>
      <c r="H52" s="11">
        <f>1/Propulsion!$C$8*20.9*H50/($C$7-87*SQRT(H50))</f>
        <v>0.18345066244260408</v>
      </c>
      <c r="I52" s="11">
        <f>1/Propulsion!$C$8*20.9*I50/($C$7-87*SQRT(I50))</f>
        <v>0.20777989705814415</v>
      </c>
      <c r="J52" s="11">
        <f>1/Propulsion!$C$8*20.9*J50/($C$7-87*SQRT(J50))</f>
        <v>0.23235511523954111</v>
      </c>
      <c r="K52" s="11">
        <f>1/Propulsion!$C$8*20.9*K50/($C$7-87*SQRT(K50))</f>
        <v>0.25716773861939402</v>
      </c>
      <c r="L52" s="11">
        <f>1/Propulsion!$C$8*20.9*L50/($C$7-87*SQRT(L50))</f>
        <v>0.28221048069366705</v>
      </c>
      <c r="M52" s="11">
        <f>1/Propulsion!$C$8*20.9*M50/($C$7-87*SQRT(M50))</f>
        <v>0.30747706882904818</v>
      </c>
      <c r="N52" s="11">
        <f>1/Propulsion!$C$8*20.9*N50/($C$7-87*SQRT(N50))</f>
        <v>0.33296204335132945</v>
      </c>
      <c r="O52" s="11">
        <f>1/Propulsion!$C$8*20.9*O50/($C$7-87*SQRT(O50))</f>
        <v>0.358660608254321</v>
      </c>
      <c r="P52" s="11">
        <f>1/Propulsion!$C$8*20.9*P50/($C$7-87*SQRT(P50))</f>
        <v>0.38456851764890781</v>
      </c>
      <c r="Q52" s="11">
        <f>1/Propulsion!$C$8*20.9*Q50/($C$7-87*SQRT(Q50))</f>
        <v>0.41068198766233466</v>
      </c>
      <c r="R52" s="11">
        <f>1/Propulsion!$C$8*20.9*R50/($C$7-87*SQRT(R50))</f>
        <v>0.43699762690135274</v>
      </c>
      <c r="S52" s="11">
        <f>1/Propulsion!$C$8*20.9*S50/($C$7-87*SQRT(S50))</f>
        <v>0.46351238074101853</v>
      </c>
      <c r="T52" s="11">
        <f>1/Propulsion!$C$8*20.9*T50/($C$7-87*SQRT(T50))</f>
        <v>0.49022348609949529</v>
      </c>
      <c r="U52" s="11">
        <f>1/Propulsion!$C$8*20.9*U50/($C$7-87*SQRT(U50))</f>
        <v>0.51712843429468591</v>
      </c>
      <c r="V52" s="11">
        <f>1/Propulsion!$C$8*20.9*V50/($C$7-87*SQRT(V50))</f>
        <v>0.54422494021932777</v>
      </c>
      <c r="W52" s="11">
        <f>1/Propulsion!$C$8*20.9*W50/($C$7-87*SQRT(W50))</f>
        <v>0.57151091651945274</v>
      </c>
      <c r="X52" s="11">
        <f>1/Propulsion!$C$8*20.9*X50/($C$7-87*SQRT(X50))</f>
        <v>0.59898445178069215</v>
      </c>
      <c r="Y52" s="10"/>
      <c r="Z52" s="10"/>
      <c r="AA52" s="10"/>
      <c r="AB52" s="86"/>
      <c r="AC52" s="4"/>
      <c r="AD52" s="4"/>
    </row>
    <row r="53" spans="1:30" ht="13.8" x14ac:dyDescent="0.3">
      <c r="A53" s="94" t="s">
        <v>471</v>
      </c>
      <c r="B53" s="10"/>
      <c r="C53" s="10"/>
      <c r="D53" s="10"/>
      <c r="E53" s="10"/>
      <c r="F53" s="10"/>
      <c r="G53" s="10"/>
      <c r="H53" s="10"/>
      <c r="I53" s="10"/>
      <c r="J53" s="10"/>
      <c r="K53" s="10"/>
      <c r="L53" s="10"/>
      <c r="M53" s="10"/>
      <c r="N53" s="10"/>
      <c r="O53" s="10"/>
      <c r="P53" s="10"/>
      <c r="Q53" s="10"/>
      <c r="R53" s="10"/>
      <c r="S53" s="10"/>
      <c r="T53" s="10"/>
      <c r="U53" s="10"/>
      <c r="V53" s="10"/>
      <c r="W53" s="10"/>
      <c r="X53" s="10"/>
      <c r="Y53" s="11">
        <v>0</v>
      </c>
      <c r="Z53" s="11">
        <f>MAX(C52:X62)</f>
        <v>3.4416553330731658</v>
      </c>
      <c r="AA53" s="10"/>
      <c r="AB53" s="86"/>
      <c r="AC53" s="4"/>
      <c r="AD53" s="4"/>
    </row>
    <row r="54" spans="1:30" ht="13.8" x14ac:dyDescent="0.3">
      <c r="A54" s="58" t="s">
        <v>476</v>
      </c>
      <c r="B54" s="10"/>
      <c r="C54" s="10"/>
      <c r="D54" s="10"/>
      <c r="E54" s="10"/>
      <c r="F54" s="10"/>
      <c r="G54" s="10"/>
      <c r="H54" s="10"/>
      <c r="I54" s="10"/>
      <c r="J54" s="10"/>
      <c r="K54" s="10"/>
      <c r="L54" s="10"/>
      <c r="M54" s="10"/>
      <c r="N54" s="10"/>
      <c r="O54" s="10"/>
      <c r="P54" s="10"/>
      <c r="Q54" s="10"/>
      <c r="R54" s="10"/>
      <c r="S54" s="10"/>
      <c r="T54" s="10"/>
      <c r="U54" s="10"/>
      <c r="V54" s="10"/>
      <c r="W54" s="10"/>
      <c r="X54" s="10"/>
      <c r="Y54" s="11">
        <v>0</v>
      </c>
      <c r="Z54" s="11">
        <f>MAX(C52:X58)</f>
        <v>0.81080210779008022</v>
      </c>
      <c r="AA54" s="10"/>
      <c r="AB54" s="86"/>
      <c r="AC54" s="4"/>
      <c r="AD54" s="4"/>
    </row>
    <row r="55" spans="1:30" ht="13.8" x14ac:dyDescent="0.3">
      <c r="A55" s="58" t="s">
        <v>477</v>
      </c>
      <c r="B55" s="10"/>
      <c r="C55" s="11">
        <f>37.5*C48/(Atmosphere!$H$18*$C$8*$C$7)</f>
        <v>8.3333196491228057E-2</v>
      </c>
      <c r="D55" s="11">
        <f>37.5*D48/(Atmosphere!$H$18*$C$8*$C$7)</f>
        <v>0.11111092865497074</v>
      </c>
      <c r="E55" s="11">
        <f>37.5*E48/(Atmosphere!$H$18*$C$8*$C$7)</f>
        <v>0.13888866081871343</v>
      </c>
      <c r="F55" s="11">
        <f>37.5*F48/(Atmosphere!$H$18*$C$8*$C$7)</f>
        <v>0.16666639298245611</v>
      </c>
      <c r="G55" s="11">
        <f>37.5*G48/(Atmosphere!$H$18*$C$8*$C$7)</f>
        <v>0.1944441251461988</v>
      </c>
      <c r="H55" s="11">
        <f>37.5*H48/(Atmosphere!$H$18*$C$8*$C$7)</f>
        <v>0.22222185730994148</v>
      </c>
      <c r="I55" s="11">
        <f>37.5*I48/(Atmosphere!$H$18*$C$8*$C$7)</f>
        <v>0.24999958947368417</v>
      </c>
      <c r="J55" s="11">
        <f>37.5*J48/(Atmosphere!$H$18*$C$8*$C$7)</f>
        <v>0.27777732163742686</v>
      </c>
      <c r="K55" s="11">
        <f>37.5*K48/(Atmosphere!$H$18*$C$8*$C$7)</f>
        <v>0.30555505380116954</v>
      </c>
      <c r="L55" s="11">
        <f>37.5*L48/(Atmosphere!$H$18*$C$8*$C$7)</f>
        <v>0.33333278596491223</v>
      </c>
      <c r="M55" s="11">
        <f>37.5*M48/(Atmosphere!$H$18*$C$8*$C$7)</f>
        <v>0.36111051812865491</v>
      </c>
      <c r="N55" s="11">
        <f>37.5*N48/(Atmosphere!$H$18*$C$8*$C$7)</f>
        <v>0.3888882502923976</v>
      </c>
      <c r="O55" s="11">
        <f>37.5*O48/(Atmosphere!$H$18*$C$8*$C$7)</f>
        <v>0.41666598245614028</v>
      </c>
      <c r="P55" s="11">
        <f>37.5*P48/(Atmosphere!$H$18*$C$8*$C$7)</f>
        <v>0.44444371461988297</v>
      </c>
      <c r="Q55" s="11">
        <f>37.5*Q48/(Atmosphere!$H$18*$C$8*$C$7)</f>
        <v>0.47222144678362565</v>
      </c>
      <c r="R55" s="11">
        <f>37.5*R48/(Atmosphere!$H$18*$C$8*$C$7)</f>
        <v>0.49999917894736834</v>
      </c>
      <c r="S55" s="11">
        <f>37.5*S48/(Atmosphere!$H$18*$C$8*$C$7)</f>
        <v>0.52777691111111102</v>
      </c>
      <c r="T55" s="11">
        <f>37.5*T48/(Atmosphere!$H$18*$C$8*$C$7)</f>
        <v>0.55555464327485371</v>
      </c>
      <c r="U55" s="11">
        <f>37.5*U48/(Atmosphere!$H$18*$C$8*$C$7)</f>
        <v>0.5833323754385964</v>
      </c>
      <c r="V55" s="11">
        <f>37.5*V48/(Atmosphere!$H$18*$C$8*$C$7)</f>
        <v>0.61111010760233908</v>
      </c>
      <c r="W55" s="11">
        <f>37.5*W48/(Atmosphere!$H$18*$C$8*$C$7)</f>
        <v>0.63888783976608177</v>
      </c>
      <c r="X55" s="11">
        <f>37.5*X48/(Atmosphere!$H$18*$C$8*$C$7)</f>
        <v>0.66666557192982445</v>
      </c>
      <c r="Y55" s="10"/>
      <c r="Z55" s="10"/>
      <c r="AA55" s="10"/>
      <c r="AB55" s="86"/>
      <c r="AC55" s="4"/>
      <c r="AD55" s="4"/>
    </row>
    <row r="56" spans="1:30" ht="13.8" x14ac:dyDescent="0.3">
      <c r="A56" s="94" t="s">
        <v>478</v>
      </c>
      <c r="B56" s="10"/>
      <c r="C56" s="11">
        <f t="shared" ref="C56:X56" si="8">$M42</f>
        <v>0.27071652812976033</v>
      </c>
      <c r="D56" s="11">
        <f t="shared" si="8"/>
        <v>0.27071652812976033</v>
      </c>
      <c r="E56" s="11">
        <f t="shared" si="8"/>
        <v>0.27071652812976033</v>
      </c>
      <c r="F56" s="11">
        <f t="shared" si="8"/>
        <v>0.27071652812976033</v>
      </c>
      <c r="G56" s="11">
        <f t="shared" si="8"/>
        <v>0.27071652812976033</v>
      </c>
      <c r="H56" s="11">
        <f t="shared" si="8"/>
        <v>0.27071652812976033</v>
      </c>
      <c r="I56" s="11">
        <f t="shared" si="8"/>
        <v>0.27071652812976033</v>
      </c>
      <c r="J56" s="11">
        <f t="shared" si="8"/>
        <v>0.27071652812976033</v>
      </c>
      <c r="K56" s="11">
        <f t="shared" si="8"/>
        <v>0.27071652812976033</v>
      </c>
      <c r="L56" s="11">
        <f t="shared" si="8"/>
        <v>0.27071652812976033</v>
      </c>
      <c r="M56" s="11">
        <f t="shared" si="8"/>
        <v>0.27071652812976033</v>
      </c>
      <c r="N56" s="11">
        <f t="shared" si="8"/>
        <v>0.27071652812976033</v>
      </c>
      <c r="O56" s="11">
        <f t="shared" si="8"/>
        <v>0.27071652812976033</v>
      </c>
      <c r="P56" s="11">
        <f t="shared" si="8"/>
        <v>0.27071652812976033</v>
      </c>
      <c r="Q56" s="11">
        <f t="shared" si="8"/>
        <v>0.27071652812976033</v>
      </c>
      <c r="R56" s="11">
        <f t="shared" si="8"/>
        <v>0.27071652812976033</v>
      </c>
      <c r="S56" s="11">
        <f t="shared" si="8"/>
        <v>0.27071652812976033</v>
      </c>
      <c r="T56" s="11">
        <f t="shared" si="8"/>
        <v>0.27071652812976033</v>
      </c>
      <c r="U56" s="11">
        <f t="shared" si="8"/>
        <v>0.27071652812976033</v>
      </c>
      <c r="V56" s="11">
        <f t="shared" si="8"/>
        <v>0.27071652812976033</v>
      </c>
      <c r="W56" s="11">
        <f t="shared" si="8"/>
        <v>0.27071652812976033</v>
      </c>
      <c r="X56" s="11">
        <f t="shared" si="8"/>
        <v>0.27071652812976033</v>
      </c>
      <c r="Y56" s="10"/>
      <c r="Z56" s="10"/>
      <c r="AA56" s="10"/>
      <c r="AB56" s="86"/>
      <c r="AC56" s="4"/>
      <c r="AD56" s="4"/>
    </row>
    <row r="57" spans="1:30" ht="13.8" x14ac:dyDescent="0.3">
      <c r="A57" s="58" t="s">
        <v>740</v>
      </c>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86"/>
      <c r="AC57" s="4"/>
      <c r="AD57" s="4"/>
    </row>
    <row r="58" spans="1:30" ht="13.8" x14ac:dyDescent="0.3">
      <c r="A58" s="108" t="str">
        <f>A28</f>
        <v>Cruise Mach req'm't</v>
      </c>
      <c r="B58" s="10"/>
      <c r="C58" s="11">
        <f t="shared" ref="C58:X58" si="9">1/TOTREF5*WOWREF5*(_SEP5/_VEE5+_QUE5/C$48/WOWREF5*_CDO5+_GEE5^2*_KAY5*(C$48*WOWREF5/_QUE5))</f>
        <v>0.81080210779008022</v>
      </c>
      <c r="D58" s="11">
        <f t="shared" si="9"/>
        <v>0.61136595305221941</v>
      </c>
      <c r="E58" s="11">
        <f t="shared" si="9"/>
        <v>0.49245040242885368</v>
      </c>
      <c r="F58" s="11">
        <f t="shared" si="9"/>
        <v>0.41379515386273541</v>
      </c>
      <c r="G58" s="11">
        <f t="shared" si="9"/>
        <v>0.35814579218647297</v>
      </c>
      <c r="H58" s="11">
        <f t="shared" si="9"/>
        <v>0.31687510981637018</v>
      </c>
      <c r="I58" s="11">
        <f t="shared" si="9"/>
        <v>0.28519021365037406</v>
      </c>
      <c r="J58" s="11">
        <f t="shared" si="9"/>
        <v>0.26021536782725235</v>
      </c>
      <c r="K58" s="11">
        <f t="shared" si="9"/>
        <v>0.24012055861713053</v>
      </c>
      <c r="L58" s="11">
        <f t="shared" si="9"/>
        <v>0.22368577686675833</v>
      </c>
      <c r="M58" s="11">
        <f t="shared" si="9"/>
        <v>0.21006640085465533</v>
      </c>
      <c r="N58" s="11">
        <f t="shared" si="9"/>
        <v>0.1986591293511922</v>
      </c>
      <c r="O58" s="11">
        <f t="shared" si="9"/>
        <v>0.18902154145464109</v>
      </c>
      <c r="P58" s="11">
        <f t="shared" si="9"/>
        <v>0.18082182148870596</v>
      </c>
      <c r="Q58" s="11">
        <f t="shared" si="9"/>
        <v>0.17380622805386634</v>
      </c>
      <c r="R58" s="11">
        <f t="shared" si="9"/>
        <v>0.16777740672827299</v>
      </c>
      <c r="S58" s="11">
        <f t="shared" si="9"/>
        <v>0.16257955138941332</v>
      </c>
      <c r="T58" s="11">
        <f t="shared" si="9"/>
        <v>0.15808801713927728</v>
      </c>
      <c r="U58" s="11">
        <f t="shared" si="9"/>
        <v>0.1542019009651901</v>
      </c>
      <c r="V58" s="11">
        <f t="shared" si="9"/>
        <v>0.15083864585678147</v>
      </c>
      <c r="W58" s="11">
        <f t="shared" si="9"/>
        <v>0.147930052544615</v>
      </c>
      <c r="X58" s="11">
        <f t="shared" si="9"/>
        <v>0.14541928830416048</v>
      </c>
      <c r="Y58" s="10"/>
      <c r="Z58" s="10"/>
      <c r="AA58" s="10"/>
      <c r="AB58" s="86"/>
      <c r="AC58" s="4"/>
      <c r="AD58" s="4"/>
    </row>
    <row r="59" spans="1:30" ht="13.8" x14ac:dyDescent="0.3">
      <c r="A59" s="108" t="str">
        <f>A24</f>
        <v>Sustained load factor [g]</v>
      </c>
      <c r="B59" s="10"/>
      <c r="C59" s="11">
        <f t="shared" ref="C59:X59" si="10">1/TOTREF1*WOWREF1*(_SEP1/_VEE1+_QUE1/C$48/WOWREF1*_CDO1+_GEE1^2*_KAY1*(C$48*WOWREF1/_QUE1))</f>
        <v>2.649288675407484</v>
      </c>
      <c r="D59" s="11">
        <f t="shared" si="10"/>
        <v>2.1547599505274375</v>
      </c>
      <c r="E59" s="11">
        <f t="shared" si="10"/>
        <v>1.8963955027929693</v>
      </c>
      <c r="F59" s="11">
        <f t="shared" si="10"/>
        <v>1.7561131936312906</v>
      </c>
      <c r="G59" s="11">
        <f t="shared" si="10"/>
        <v>1.6833063922254914</v>
      </c>
      <c r="H59" s="11">
        <f t="shared" si="10"/>
        <v>1.6526717831671169</v>
      </c>
      <c r="I59" s="11">
        <f t="shared" si="10"/>
        <v>1.6501519690070259</v>
      </c>
      <c r="J59" s="11">
        <f t="shared" si="10"/>
        <v>1.6673125112757325</v>
      </c>
      <c r="K59" s="11">
        <f t="shared" si="10"/>
        <v>1.6987860400381105</v>
      </c>
      <c r="L59" s="11">
        <f t="shared" si="10"/>
        <v>1.7409943086707427</v>
      </c>
      <c r="M59" s="11">
        <f t="shared" si="10"/>
        <v>1.7914600695112621</v>
      </c>
      <c r="N59" s="11">
        <f t="shared" si="10"/>
        <v>1.8484138599436928</v>
      </c>
      <c r="O59" s="11">
        <f t="shared" si="10"/>
        <v>1.9105580740496524</v>
      </c>
      <c r="P59" s="11">
        <f t="shared" si="10"/>
        <v>1.9769195073903549</v>
      </c>
      <c r="Q59" s="11">
        <f t="shared" si="10"/>
        <v>2.0467539448067278</v>
      </c>
      <c r="R59" s="11">
        <f t="shared" si="10"/>
        <v>2.1194825522861587</v>
      </c>
      <c r="S59" s="11">
        <f t="shared" si="10"/>
        <v>2.1946483556081655</v>
      </c>
      <c r="T59" s="11">
        <f t="shared" si="10"/>
        <v>2.2718857753963619</v>
      </c>
      <c r="U59" s="11">
        <f t="shared" si="10"/>
        <v>2.3508988664412915</v>
      </c>
      <c r="V59" s="11">
        <f t="shared" si="10"/>
        <v>2.4314454917534003</v>
      </c>
      <c r="W59" s="11">
        <f t="shared" si="10"/>
        <v>2.5133256251239255</v>
      </c>
      <c r="X59" s="11">
        <f t="shared" si="10"/>
        <v>2.5963725780455658</v>
      </c>
      <c r="Y59" s="10"/>
      <c r="Z59" s="10"/>
      <c r="AA59" s="10"/>
      <c r="AB59" s="86"/>
      <c r="AC59" s="4"/>
      <c r="AD59" s="4"/>
    </row>
    <row r="60" spans="1:30" ht="13.8" x14ac:dyDescent="0.3">
      <c r="A60" s="108" t="str">
        <f>A25</f>
        <v>Inst. turn rate [°/sec]</v>
      </c>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1">
        <v>0</v>
      </c>
      <c r="AB60" s="89">
        <f>MAX(C52:X62)</f>
        <v>3.4416553330731658</v>
      </c>
      <c r="AC60" s="4"/>
      <c r="AD60" s="4"/>
    </row>
    <row r="61" spans="1:30" ht="13.8" x14ac:dyDescent="0.3">
      <c r="A61" s="108" t="str">
        <f>A26</f>
        <v>SEP @1g [ft/sec]</v>
      </c>
      <c r="B61" s="10"/>
      <c r="C61" s="11">
        <f t="shared" ref="C61:X61" si="11">1/$K26*$M26*($I26/$S26+$U26/C$48/$M26*($O$26+$Q$26*(C$48*$M26*$G26/$U26)^2))</f>
        <v>2.643482217200066</v>
      </c>
      <c r="D61" s="11">
        <f t="shared" si="11"/>
        <v>2.056906803055476</v>
      </c>
      <c r="E61" s="11">
        <f t="shared" si="11"/>
        <v>1.7064956660564645</v>
      </c>
      <c r="F61" s="11">
        <f t="shared" si="11"/>
        <v>1.4741666676302418</v>
      </c>
      <c r="G61" s="11">
        <f t="shared" si="11"/>
        <v>1.3093131769598989</v>
      </c>
      <c r="H61" s="11">
        <f t="shared" si="11"/>
        <v>1.1866318786369807</v>
      </c>
      <c r="I61" s="11">
        <f t="shared" si="11"/>
        <v>1.0920653752123459</v>
      </c>
      <c r="J61" s="11">
        <f t="shared" si="11"/>
        <v>1.0171792282165089</v>
      </c>
      <c r="K61" s="11">
        <f t="shared" si="11"/>
        <v>0.95660606771434342</v>
      </c>
      <c r="L61" s="11">
        <f t="shared" si="11"/>
        <v>0.90676764708243163</v>
      </c>
      <c r="M61" s="11">
        <f t="shared" si="11"/>
        <v>0.86518671865840713</v>
      </c>
      <c r="N61" s="11">
        <f t="shared" si="11"/>
        <v>0.83009381982629415</v>
      </c>
      <c r="O61" s="11">
        <f t="shared" si="11"/>
        <v>0.80019134466771036</v>
      </c>
      <c r="P61" s="11">
        <f t="shared" si="11"/>
        <v>0.77450608874386895</v>
      </c>
      <c r="Q61" s="11">
        <f t="shared" si="11"/>
        <v>0.75229383689569795</v>
      </c>
      <c r="R61" s="11">
        <f t="shared" si="11"/>
        <v>0.73297575511058544</v>
      </c>
      <c r="S61" s="11">
        <f t="shared" si="11"/>
        <v>0.71609486916804854</v>
      </c>
      <c r="T61" s="11">
        <f t="shared" si="11"/>
        <v>0.7012855996917009</v>
      </c>
      <c r="U61" s="11">
        <f t="shared" si="11"/>
        <v>0.68825200147208698</v>
      </c>
      <c r="V61" s="11">
        <f t="shared" si="11"/>
        <v>0.67675193751965224</v>
      </c>
      <c r="W61" s="11">
        <f t="shared" si="11"/>
        <v>0.66658538162563397</v>
      </c>
      <c r="X61" s="11">
        <f t="shared" si="11"/>
        <v>0.65758564528273034</v>
      </c>
      <c r="Y61" s="10"/>
      <c r="Z61" s="10"/>
      <c r="AA61" s="10"/>
      <c r="AB61" s="86"/>
      <c r="AC61" s="4"/>
      <c r="AD61" s="4"/>
    </row>
    <row r="62" spans="1:30" ht="13.8" x14ac:dyDescent="0.3">
      <c r="A62" s="108" t="str">
        <f>A27</f>
        <v>SEP @5g [ft/sec]</v>
      </c>
      <c r="B62" s="10"/>
      <c r="C62" s="11">
        <f t="shared" ref="C62:X62" si="12">1/$K27*$M27*($I27/$S27+$U27/C$48/$M27*($O$27+$Q$27*(C$48*$M27*$G27/$U27)^2))</f>
        <v>3.4416553330731658</v>
      </c>
      <c r="D62" s="11">
        <f t="shared" si="12"/>
        <v>2.7660072064475276</v>
      </c>
      <c r="E62" s="11">
        <f t="shared" si="12"/>
        <v>2.3907689940643433</v>
      </c>
      <c r="F62" s="11">
        <f t="shared" si="12"/>
        <v>2.1657357388023848</v>
      </c>
      <c r="G62" s="11">
        <f t="shared" si="12"/>
        <v>2.0265338876096992</v>
      </c>
      <c r="H62" s="11">
        <f t="shared" si="12"/>
        <v>1.9409766639603079</v>
      </c>
      <c r="I62" s="11">
        <f t="shared" si="12"/>
        <v>1.8911825253397809</v>
      </c>
      <c r="J62" s="11">
        <f t="shared" si="12"/>
        <v>1.8664225462394592</v>
      </c>
      <c r="K62" s="11">
        <f t="shared" si="12"/>
        <v>1.8598692286083756</v>
      </c>
      <c r="L62" s="11">
        <f t="shared" si="12"/>
        <v>1.8669709070792222</v>
      </c>
      <c r="M62" s="11">
        <f t="shared" si="12"/>
        <v>1.8845764287053994</v>
      </c>
      <c r="N62" s="11">
        <f t="shared" si="12"/>
        <v>1.9104349699536223</v>
      </c>
      <c r="O62" s="11">
        <f t="shared" si="12"/>
        <v>1.9428959268994812</v>
      </c>
      <c r="P62" s="11">
        <f t="shared" si="12"/>
        <v>1.9807213465996691</v>
      </c>
      <c r="Q62" s="11">
        <f t="shared" si="12"/>
        <v>2.0229645591563647</v>
      </c>
      <c r="R62" s="11">
        <f t="shared" si="12"/>
        <v>2.0688892657601485</v>
      </c>
      <c r="S62" s="11">
        <f t="shared" si="12"/>
        <v>2.1179141778772705</v>
      </c>
      <c r="T62" s="11">
        <f t="shared" si="12"/>
        <v>2.1695742646807306</v>
      </c>
      <c r="U62" s="11">
        <f t="shared" si="12"/>
        <v>2.2234930726439068</v>
      </c>
      <c r="V62" s="11">
        <f t="shared" si="12"/>
        <v>2.279362594335931</v>
      </c>
      <c r="W62" s="11">
        <f t="shared" si="12"/>
        <v>2.336928388835648</v>
      </c>
      <c r="X62" s="11">
        <f t="shared" si="12"/>
        <v>2.3959784220420972</v>
      </c>
      <c r="Y62" s="10"/>
      <c r="Z62" s="10"/>
      <c r="AA62" s="10"/>
      <c r="AB62" s="86"/>
      <c r="AC62" s="4"/>
      <c r="AD62" s="4"/>
    </row>
    <row r="63" spans="1:30" ht="14.4" thickBot="1" x14ac:dyDescent="0.35">
      <c r="A63" s="103"/>
      <c r="B63" s="79"/>
      <c r="C63" s="79"/>
      <c r="D63" s="79"/>
      <c r="E63" s="79"/>
      <c r="F63" s="79"/>
      <c r="G63" s="79"/>
      <c r="H63" s="79"/>
      <c r="I63" s="79"/>
      <c r="J63" s="79"/>
      <c r="K63" s="79"/>
      <c r="L63" s="79"/>
      <c r="M63" s="79"/>
      <c r="N63" s="79"/>
      <c r="O63" s="79"/>
      <c r="P63" s="79"/>
      <c r="Q63" s="79"/>
      <c r="R63" s="79"/>
      <c r="S63" s="79"/>
      <c r="T63" s="79"/>
      <c r="U63" s="79"/>
      <c r="V63" s="79"/>
      <c r="W63" s="79"/>
      <c r="X63" s="79"/>
      <c r="Y63" s="79"/>
      <c r="Z63" s="79"/>
      <c r="AA63" s="79"/>
      <c r="AB63" s="90"/>
      <c r="AC63" s="4"/>
      <c r="AD63" s="4"/>
    </row>
    <row r="64" spans="1:30" ht="13.8" x14ac:dyDescent="0.3">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row>
    <row r="65" spans="1:30" ht="13.8" x14ac:dyDescent="0.3">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row>
    <row r="66" spans="1:30" ht="13.8" x14ac:dyDescent="0.3">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row>
    <row r="67" spans="1:30" ht="13.8" x14ac:dyDescent="0.3">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row>
    <row r="68" spans="1:30" ht="13.8" x14ac:dyDescent="0.3">
      <c r="A68" s="5" t="s">
        <v>479</v>
      </c>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row>
    <row r="69" spans="1:30" ht="13.8" x14ac:dyDescent="0.3">
      <c r="A69" s="5" t="s">
        <v>480</v>
      </c>
      <c r="B69" s="4"/>
      <c r="C69" s="9">
        <f t="shared" ref="C69:X69" si="13">IF(C49=1,MAX(C52:C61),999)</f>
        <v>2.649288675407484</v>
      </c>
      <c r="D69" s="9">
        <f t="shared" si="13"/>
        <v>2.1547599505274375</v>
      </c>
      <c r="E69" s="9">
        <f t="shared" si="13"/>
        <v>1.8963955027929693</v>
      </c>
      <c r="F69" s="9">
        <f t="shared" si="13"/>
        <v>1.7561131936312906</v>
      </c>
      <c r="G69" s="9">
        <f t="shared" si="13"/>
        <v>1.6833063922254914</v>
      </c>
      <c r="H69" s="9">
        <f t="shared" si="13"/>
        <v>1.6526717831671169</v>
      </c>
      <c r="I69" s="9">
        <f t="shared" si="13"/>
        <v>1.6501519690070259</v>
      </c>
      <c r="J69" s="9">
        <f t="shared" si="13"/>
        <v>1.6673125112757325</v>
      </c>
      <c r="K69" s="9">
        <f t="shared" si="13"/>
        <v>1.6987860400381105</v>
      </c>
      <c r="L69" s="9">
        <f t="shared" si="13"/>
        <v>1.7409943086707427</v>
      </c>
      <c r="M69" s="9">
        <f t="shared" si="13"/>
        <v>1.7914600695112621</v>
      </c>
      <c r="N69" s="9">
        <f t="shared" si="13"/>
        <v>1.8484138599436928</v>
      </c>
      <c r="O69" s="9">
        <f t="shared" si="13"/>
        <v>1.9105580740496524</v>
      </c>
      <c r="P69" s="9">
        <f t="shared" si="13"/>
        <v>1.9769195073903549</v>
      </c>
      <c r="Q69" s="9">
        <f t="shared" si="13"/>
        <v>2.0467539448067278</v>
      </c>
      <c r="R69" s="9">
        <f t="shared" si="13"/>
        <v>2.1194825522861587</v>
      </c>
      <c r="S69" s="9">
        <f t="shared" si="13"/>
        <v>2.1946483556081655</v>
      </c>
      <c r="T69" s="9">
        <f t="shared" si="13"/>
        <v>2.2718857753963619</v>
      </c>
      <c r="U69" s="9">
        <f t="shared" si="13"/>
        <v>2.3508988664412915</v>
      </c>
      <c r="V69" s="9">
        <f t="shared" si="13"/>
        <v>999</v>
      </c>
      <c r="W69" s="9">
        <f t="shared" si="13"/>
        <v>999</v>
      </c>
      <c r="X69" s="9">
        <f t="shared" si="13"/>
        <v>999</v>
      </c>
      <c r="Y69" s="4"/>
      <c r="Z69" s="4"/>
      <c r="AA69" s="4"/>
      <c r="AB69" s="4"/>
      <c r="AC69" s="4"/>
      <c r="AD69" s="4"/>
    </row>
    <row r="70" spans="1:30" ht="13.8" x14ac:dyDescent="0.3">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1:30" ht="13.8" x14ac:dyDescent="0.3">
      <c r="A71" s="4"/>
      <c r="B71" s="5" t="s">
        <v>481</v>
      </c>
      <c r="C71" s="9">
        <f t="shared" ref="C71:X71" ca="1" si="14">IF(C69=$C$74,+CELL("contents",C48),0)</f>
        <v>0</v>
      </c>
      <c r="D71" s="9">
        <f t="shared" ca="1" si="14"/>
        <v>0</v>
      </c>
      <c r="E71" s="9">
        <f t="shared" ca="1" si="14"/>
        <v>0</v>
      </c>
      <c r="F71" s="9">
        <f t="shared" ca="1" si="14"/>
        <v>0</v>
      </c>
      <c r="G71" s="9">
        <f t="shared" ca="1" si="14"/>
        <v>0</v>
      </c>
      <c r="H71" s="9">
        <f t="shared" ca="1" si="14"/>
        <v>0</v>
      </c>
      <c r="I71" s="9">
        <f t="shared" ca="1" si="14"/>
        <v>45</v>
      </c>
      <c r="J71" s="9">
        <f t="shared" ca="1" si="14"/>
        <v>0</v>
      </c>
      <c r="K71" s="9">
        <f t="shared" ca="1" si="14"/>
        <v>0</v>
      </c>
      <c r="L71" s="9">
        <f t="shared" ca="1" si="14"/>
        <v>0</v>
      </c>
      <c r="M71" s="9">
        <f t="shared" ca="1" si="14"/>
        <v>0</v>
      </c>
      <c r="N71" s="9">
        <f t="shared" ca="1" si="14"/>
        <v>0</v>
      </c>
      <c r="O71" s="9">
        <f t="shared" ca="1" si="14"/>
        <v>0</v>
      </c>
      <c r="P71" s="9">
        <f t="shared" ca="1" si="14"/>
        <v>0</v>
      </c>
      <c r="Q71" s="9">
        <f t="shared" ca="1" si="14"/>
        <v>0</v>
      </c>
      <c r="R71" s="9">
        <f t="shared" ca="1" si="14"/>
        <v>0</v>
      </c>
      <c r="S71" s="9">
        <f t="shared" ca="1" si="14"/>
        <v>0</v>
      </c>
      <c r="T71" s="9">
        <f t="shared" ca="1" si="14"/>
        <v>0</v>
      </c>
      <c r="U71" s="9">
        <f t="shared" ca="1" si="14"/>
        <v>0</v>
      </c>
      <c r="V71" s="9">
        <f t="shared" ca="1" si="14"/>
        <v>0</v>
      </c>
      <c r="W71" s="9">
        <f t="shared" ca="1" si="14"/>
        <v>0</v>
      </c>
      <c r="X71" s="9">
        <f t="shared" ca="1" si="14"/>
        <v>0</v>
      </c>
      <c r="Y71" s="4"/>
      <c r="Z71" s="4"/>
      <c r="AA71" s="4"/>
      <c r="AB71" s="4"/>
      <c r="AC71" s="4"/>
      <c r="AD71" s="4"/>
    </row>
    <row r="72" spans="1:30" ht="13.8" x14ac:dyDescent="0.3">
      <c r="A72" s="5" t="s">
        <v>482</v>
      </c>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row>
    <row r="73" spans="1:30" ht="13.8" x14ac:dyDescent="0.3">
      <c r="A73" s="5" t="s">
        <v>483</v>
      </c>
      <c r="B73" s="4"/>
      <c r="C73" s="9" t="e">
        <f>#REF!</f>
        <v>#REF!</v>
      </c>
      <c r="D73" s="4"/>
      <c r="E73" s="4"/>
      <c r="F73" s="4"/>
      <c r="G73" s="4"/>
      <c r="H73" s="4"/>
      <c r="I73" s="4"/>
      <c r="J73" s="4"/>
      <c r="K73" s="4"/>
      <c r="L73" s="4"/>
      <c r="M73" s="4"/>
      <c r="N73" s="4"/>
      <c r="O73" s="4"/>
      <c r="P73" s="4"/>
      <c r="Q73" s="4"/>
      <c r="R73" s="4"/>
      <c r="S73" s="4"/>
      <c r="T73" s="4"/>
      <c r="U73" s="4"/>
      <c r="V73" s="4"/>
      <c r="W73" s="4"/>
      <c r="X73" s="4"/>
      <c r="Y73" s="4"/>
      <c r="Z73" s="4"/>
      <c r="AA73" s="4"/>
      <c r="AB73" s="4"/>
      <c r="AC73" s="4"/>
      <c r="AD73" s="4"/>
    </row>
    <row r="74" spans="1:30" ht="13.8" x14ac:dyDescent="0.3">
      <c r="A74" s="5" t="s">
        <v>484</v>
      </c>
      <c r="B74" s="5" t="s">
        <v>485</v>
      </c>
      <c r="C74" s="9">
        <f>MIN(C69:X69)</f>
        <v>1.6501519690070259</v>
      </c>
      <c r="D74" s="4"/>
      <c r="E74" s="4"/>
      <c r="F74" s="4"/>
      <c r="G74" s="4"/>
      <c r="H74" s="4"/>
      <c r="I74" s="4"/>
      <c r="J74" s="4"/>
      <c r="K74" s="4"/>
      <c r="L74" s="4"/>
      <c r="M74" s="4"/>
      <c r="N74" s="4"/>
      <c r="O74" s="4"/>
      <c r="P74" s="4"/>
      <c r="Q74" s="4"/>
      <c r="R74" s="4"/>
      <c r="S74" s="4"/>
      <c r="T74" s="4"/>
      <c r="U74" s="4"/>
      <c r="V74" s="4"/>
      <c r="W74" s="4"/>
      <c r="X74" s="4"/>
      <c r="Y74" s="4"/>
      <c r="Z74" s="4"/>
      <c r="AA74" s="4"/>
      <c r="AB74" s="4"/>
      <c r="AC74" s="4"/>
      <c r="AD74" s="4"/>
    </row>
    <row r="75" spans="1:30" ht="13.8" x14ac:dyDescent="0.3">
      <c r="A75" s="5" t="s">
        <v>486</v>
      </c>
      <c r="B75" s="5" t="s">
        <v>487</v>
      </c>
      <c r="C75" s="9">
        <f ca="1">MAX(C71:X71)</f>
        <v>45</v>
      </c>
      <c r="D75" s="4"/>
      <c r="E75" s="4"/>
      <c r="F75" s="4"/>
      <c r="G75" s="4"/>
      <c r="H75" s="4"/>
      <c r="I75" s="4"/>
      <c r="J75" s="4"/>
      <c r="K75" s="4"/>
      <c r="L75" s="4"/>
      <c r="M75" s="4"/>
      <c r="N75" s="4"/>
      <c r="O75" s="4"/>
      <c r="P75" s="4"/>
      <c r="Q75" s="4"/>
      <c r="R75" s="4"/>
      <c r="S75" s="4"/>
      <c r="T75" s="4"/>
      <c r="U75" s="4"/>
      <c r="V75" s="4"/>
      <c r="W75" s="4"/>
      <c r="X75" s="4"/>
      <c r="Y75" s="4"/>
      <c r="Z75" s="4"/>
      <c r="AA75" s="4"/>
      <c r="AB75" s="4"/>
      <c r="AC75" s="4"/>
      <c r="AD75" s="4"/>
    </row>
    <row r="76" spans="1:30" ht="13.8" x14ac:dyDescent="0.3">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row>
    <row r="77" spans="1:30" ht="13.8" x14ac:dyDescent="0.3">
      <c r="A77" s="5" t="s">
        <v>488</v>
      </c>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row>
    <row r="78" spans="1:30" ht="13.8" x14ac:dyDescent="0.3">
      <c r="A78" s="4"/>
      <c r="B78" s="4"/>
      <c r="C78" s="4"/>
      <c r="D78" s="9" t="str">
        <f>A52</f>
        <v>Takeoff (Nicolai =n 6-3)</v>
      </c>
      <c r="E78" s="4"/>
      <c r="F78" s="4"/>
      <c r="G78" s="4"/>
      <c r="H78" s="4"/>
      <c r="I78" s="4"/>
      <c r="J78" s="4"/>
      <c r="K78" s="4"/>
      <c r="L78" s="4"/>
      <c r="M78" s="4"/>
      <c r="N78" s="4"/>
      <c r="O78" s="4"/>
      <c r="P78" s="4"/>
      <c r="Q78" s="4"/>
      <c r="R78" s="4"/>
      <c r="S78" s="4"/>
      <c r="T78" s="4"/>
      <c r="U78" s="4"/>
      <c r="V78" s="4"/>
      <c r="W78" s="4"/>
      <c r="X78" s="4"/>
      <c r="Y78" s="4"/>
      <c r="Z78" s="4"/>
      <c r="AA78" s="4"/>
      <c r="AB78" s="4"/>
      <c r="AC78" s="4"/>
      <c r="AD78" s="4"/>
    </row>
    <row r="79" spans="1:30" ht="13.8" x14ac:dyDescent="0.3">
      <c r="A79" s="4"/>
      <c r="B79" s="4"/>
      <c r="C79" s="4"/>
      <c r="E79" s="4"/>
      <c r="F79" s="4"/>
      <c r="G79" s="4"/>
      <c r="H79" s="4"/>
      <c r="I79" s="4"/>
      <c r="J79" s="4"/>
      <c r="K79" s="4"/>
      <c r="L79" s="9" t="str">
        <f>A61</f>
        <v>SEP @1g [ft/sec]</v>
      </c>
      <c r="M79" s="4"/>
      <c r="N79" s="4"/>
      <c r="O79" s="4"/>
      <c r="P79" s="4"/>
      <c r="Q79" s="4"/>
      <c r="R79" s="4"/>
      <c r="S79" s="4"/>
      <c r="T79" s="4"/>
      <c r="U79" s="4"/>
      <c r="V79" s="4"/>
      <c r="W79" s="4"/>
      <c r="X79" s="4"/>
      <c r="Y79" s="4"/>
      <c r="Z79" s="4"/>
      <c r="AA79" s="4"/>
      <c r="AB79" s="4"/>
      <c r="AC79" s="4"/>
      <c r="AD79" s="4"/>
    </row>
    <row r="80" spans="1:30" ht="13.8" x14ac:dyDescent="0.3">
      <c r="A80" s="4"/>
      <c r="B80" s="4"/>
      <c r="C80" s="4"/>
      <c r="E80" s="4"/>
      <c r="F80" s="4"/>
      <c r="G80" s="4"/>
      <c r="H80" s="4"/>
      <c r="I80" s="4"/>
      <c r="J80" s="4"/>
      <c r="K80" s="4"/>
      <c r="M80" s="4"/>
      <c r="N80" s="4"/>
      <c r="O80" s="4"/>
      <c r="P80" s="4"/>
      <c r="Q80" s="4"/>
      <c r="S80" s="4"/>
      <c r="T80" s="4"/>
      <c r="U80" s="4"/>
      <c r="V80" s="9" t="str">
        <f>A62</f>
        <v>SEP @5g [ft/sec]</v>
      </c>
      <c r="W80" s="4"/>
      <c r="X80" s="4"/>
      <c r="Y80" s="4"/>
      <c r="Z80" s="4"/>
      <c r="AA80" s="4"/>
      <c r="AB80" s="4"/>
      <c r="AC80" s="4"/>
      <c r="AD80" s="4"/>
    </row>
    <row r="81" spans="1:30" ht="13.8" x14ac:dyDescent="0.3">
      <c r="A81" s="4"/>
      <c r="B81" s="4"/>
      <c r="C81" s="4"/>
      <c r="D81" s="4"/>
      <c r="E81" s="4"/>
      <c r="F81" s="9" t="str">
        <f>A58</f>
        <v>Cruise Mach req'm't</v>
      </c>
      <c r="G81" s="4"/>
      <c r="H81" s="4"/>
      <c r="I81" s="4"/>
      <c r="K81" s="4"/>
      <c r="M81" s="4"/>
      <c r="O81" s="4"/>
      <c r="P81" s="4"/>
      <c r="R81" s="4"/>
      <c r="S81" s="4"/>
      <c r="T81" s="4"/>
      <c r="U81" s="4"/>
      <c r="V81" s="4"/>
      <c r="W81" s="4"/>
      <c r="X81" s="4"/>
      <c r="Y81" s="4"/>
      <c r="Z81" s="4"/>
      <c r="AA81" s="4"/>
      <c r="AB81" s="4"/>
      <c r="AC81" s="4"/>
      <c r="AD81" s="4"/>
    </row>
    <row r="82" spans="1:30" ht="13.8" x14ac:dyDescent="0.3">
      <c r="A82" s="4"/>
      <c r="B82" s="4"/>
      <c r="C82" s="9" t="str">
        <f>A56</f>
        <v>FAR Part 25 climb</v>
      </c>
      <c r="E82" s="4"/>
      <c r="F82" s="4"/>
      <c r="G82" s="4"/>
      <c r="H82" s="4"/>
      <c r="I82" s="4"/>
      <c r="J82" s="4"/>
      <c r="K82" s="4"/>
      <c r="L82" s="4"/>
      <c r="M82" s="4"/>
      <c r="N82" s="4"/>
      <c r="O82" s="4"/>
      <c r="P82" s="4"/>
      <c r="Q82" s="4"/>
      <c r="R82" s="4"/>
      <c r="S82" s="4"/>
      <c r="T82" s="4"/>
      <c r="U82" s="4"/>
      <c r="V82" s="4"/>
      <c r="W82" s="4"/>
      <c r="X82" s="4"/>
      <c r="Y82" s="4"/>
      <c r="Z82" s="4"/>
      <c r="AA82" s="4"/>
      <c r="AB82" s="4"/>
      <c r="AC82" s="4"/>
      <c r="AD82" s="4"/>
    </row>
    <row r="83" spans="1:30" ht="13.8" x14ac:dyDescent="0.3">
      <c r="A83" s="4"/>
      <c r="B83" s="4"/>
      <c r="C83" s="4"/>
      <c r="D83" s="4"/>
      <c r="E83" s="4"/>
      <c r="F83" s="4"/>
      <c r="G83" s="4"/>
      <c r="H83" s="4"/>
      <c r="I83" s="4"/>
      <c r="J83" s="9" t="str">
        <f>A55</f>
        <v>Takeoff (Roskam I, =n 3.8)</v>
      </c>
      <c r="K83" s="4"/>
      <c r="L83" s="4"/>
      <c r="M83" s="4"/>
      <c r="N83" s="4"/>
      <c r="O83" s="4"/>
      <c r="P83" s="4"/>
      <c r="Q83" s="4"/>
      <c r="R83" s="4"/>
      <c r="S83" s="4"/>
      <c r="T83" s="4"/>
      <c r="U83" s="4"/>
      <c r="V83" s="4"/>
      <c r="W83" s="4"/>
      <c r="X83" s="4"/>
      <c r="Y83" s="4"/>
      <c r="Z83" s="4"/>
      <c r="AA83" s="4"/>
      <c r="AB83" s="4"/>
      <c r="AC83" s="4"/>
      <c r="AD83" s="4"/>
    </row>
    <row r="84" spans="1:30" ht="13.8" x14ac:dyDescent="0.3">
      <c r="L84" s="11" t="s">
        <v>410</v>
      </c>
    </row>
  </sheetData>
  <mergeCells count="8">
    <mergeCell ref="U21:U23"/>
    <mergeCell ref="AB46:AB47"/>
    <mergeCell ref="C21:C23"/>
    <mergeCell ref="E21:E23"/>
    <mergeCell ref="Q21:Q23"/>
    <mergeCell ref="O21:O23"/>
    <mergeCell ref="K21:K23"/>
    <mergeCell ref="M21:M23"/>
  </mergeCells>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72"/>
  <sheetViews>
    <sheetView topLeftCell="A161" workbookViewId="0">
      <selection activeCell="C159" sqref="C150:C159"/>
    </sheetView>
  </sheetViews>
  <sheetFormatPr defaultRowHeight="12" x14ac:dyDescent="0.2"/>
  <cols>
    <col min="1" max="1" width="25.5546875" customWidth="1"/>
    <col min="2" max="2" width="10.21875" customWidth="1"/>
    <col min="4" max="4" width="11.109375" customWidth="1"/>
  </cols>
  <sheetData>
    <row r="1" spans="1:9" ht="13.8" x14ac:dyDescent="0.3">
      <c r="A1" s="2" t="s">
        <v>519</v>
      </c>
      <c r="B1" s="4"/>
      <c r="C1" s="4"/>
      <c r="D1" s="4"/>
      <c r="E1" s="4"/>
      <c r="F1" s="4"/>
      <c r="G1" s="4"/>
      <c r="H1" s="4"/>
      <c r="I1" s="4"/>
    </row>
    <row r="2" spans="1:9" ht="13.8" x14ac:dyDescent="0.3">
      <c r="A2" s="4"/>
      <c r="B2" s="4"/>
      <c r="C2" s="4"/>
      <c r="D2" s="4"/>
      <c r="E2" s="4"/>
      <c r="F2" s="4"/>
      <c r="G2" s="4"/>
      <c r="H2" s="4"/>
      <c r="I2" s="4"/>
    </row>
    <row r="3" spans="1:9" ht="13.8" x14ac:dyDescent="0.3">
      <c r="A3" s="5"/>
      <c r="B3" s="4"/>
      <c r="C3" s="4"/>
      <c r="D3" s="4"/>
      <c r="E3" s="4"/>
      <c r="F3" s="4"/>
      <c r="G3" s="4"/>
      <c r="H3" s="4"/>
      <c r="I3" s="4"/>
    </row>
    <row r="4" spans="1:9" ht="13.8" x14ac:dyDescent="0.3">
      <c r="A4" s="5"/>
      <c r="B4" s="4"/>
      <c r="C4" s="4"/>
      <c r="D4" s="4"/>
      <c r="E4" s="4"/>
      <c r="F4" s="4"/>
      <c r="G4" s="4"/>
      <c r="H4" s="4"/>
      <c r="I4" s="4"/>
    </row>
    <row r="5" spans="1:9" ht="13.8" x14ac:dyDescent="0.3">
      <c r="A5" s="5"/>
      <c r="B5" s="4"/>
      <c r="C5" s="4"/>
      <c r="D5" s="4"/>
      <c r="E5" s="4"/>
      <c r="F5" s="4"/>
      <c r="G5" s="4"/>
      <c r="H5" s="4"/>
      <c r="I5" s="4"/>
    </row>
    <row r="6" spans="1:9" ht="13.8" x14ac:dyDescent="0.3">
      <c r="A6" s="5"/>
      <c r="B6" s="4"/>
      <c r="C6" s="4"/>
      <c r="D6" s="4"/>
      <c r="E6" s="4"/>
      <c r="F6" s="4"/>
      <c r="G6" s="4"/>
      <c r="H6" s="4"/>
      <c r="I6" s="4"/>
    </row>
    <row r="7" spans="1:9" ht="14.4" thickBot="1" x14ac:dyDescent="0.35">
      <c r="A7" s="5"/>
      <c r="B7" s="4"/>
      <c r="C7" s="4"/>
      <c r="D7" s="4"/>
      <c r="E7" s="4"/>
      <c r="F7" s="4"/>
      <c r="G7" s="4"/>
      <c r="H7" s="4"/>
      <c r="I7" s="4"/>
    </row>
    <row r="8" spans="1:9" ht="13.8" x14ac:dyDescent="0.3">
      <c r="A8" s="55" t="s">
        <v>520</v>
      </c>
      <c r="B8" s="56" t="s">
        <v>521</v>
      </c>
      <c r="C8" s="156">
        <v>0</v>
      </c>
      <c r="D8" s="56" t="s">
        <v>522</v>
      </c>
      <c r="E8" s="64">
        <v>0.91100000000000003</v>
      </c>
      <c r="F8" s="4"/>
      <c r="G8" s="4"/>
      <c r="H8" s="4"/>
      <c r="I8" s="4"/>
    </row>
    <row r="9" spans="1:9" ht="14.4" thickBot="1" x14ac:dyDescent="0.35">
      <c r="A9" s="61" t="s">
        <v>523</v>
      </c>
      <c r="B9" s="62" t="s">
        <v>524</v>
      </c>
      <c r="C9" s="123">
        <v>0</v>
      </c>
      <c r="D9" s="79"/>
      <c r="E9" s="73">
        <v>0.94699999999999995</v>
      </c>
      <c r="F9" s="4"/>
      <c r="G9" s="4"/>
      <c r="H9" s="4"/>
      <c r="I9" s="4"/>
    </row>
    <row r="10" spans="1:9" ht="13.8" x14ac:dyDescent="0.3">
      <c r="A10" s="4"/>
      <c r="B10" s="4"/>
      <c r="C10" s="4"/>
      <c r="D10" s="4"/>
      <c r="E10" s="4"/>
      <c r="F10" s="4"/>
      <c r="G10" s="4"/>
      <c r="H10" s="4"/>
      <c r="I10" s="4"/>
    </row>
    <row r="11" spans="1:9" ht="14.4" thickBot="1" x14ac:dyDescent="0.35">
      <c r="A11" s="5" t="s">
        <v>756</v>
      </c>
      <c r="B11" s="4"/>
      <c r="C11" s="4"/>
      <c r="D11" s="4"/>
      <c r="E11" s="4"/>
      <c r="F11" s="4"/>
      <c r="G11" s="4"/>
      <c r="H11" s="4"/>
      <c r="I11" s="4"/>
    </row>
    <row r="12" spans="1:9" ht="13.8" x14ac:dyDescent="0.3">
      <c r="A12" s="55" t="s">
        <v>525</v>
      </c>
      <c r="B12" s="56" t="s">
        <v>526</v>
      </c>
      <c r="C12" s="64">
        <v>1</v>
      </c>
      <c r="D12" s="4"/>
      <c r="E12" s="4"/>
      <c r="F12" s="4"/>
      <c r="G12" s="4"/>
      <c r="H12" s="4"/>
      <c r="I12" s="4"/>
    </row>
    <row r="13" spans="1:9" ht="13.8" x14ac:dyDescent="0.3">
      <c r="A13" s="58" t="s">
        <v>527</v>
      </c>
      <c r="B13" s="8" t="s">
        <v>528</v>
      </c>
      <c r="C13" s="65">
        <v>1</v>
      </c>
      <c r="D13" s="4"/>
      <c r="E13" s="4"/>
      <c r="F13" s="4"/>
      <c r="G13" s="4"/>
      <c r="H13" s="4"/>
      <c r="I13" s="4"/>
    </row>
    <row r="14" spans="1:9" ht="13.8" x14ac:dyDescent="0.3">
      <c r="A14" s="58" t="s">
        <v>529</v>
      </c>
      <c r="B14" s="8" t="s">
        <v>530</v>
      </c>
      <c r="C14" s="65">
        <v>1</v>
      </c>
      <c r="D14" s="4"/>
      <c r="E14" s="4"/>
      <c r="F14" s="4"/>
      <c r="G14" s="4"/>
      <c r="H14" s="4"/>
      <c r="I14" s="4"/>
    </row>
    <row r="15" spans="1:9" ht="13.8" x14ac:dyDescent="0.3">
      <c r="A15" s="58" t="s">
        <v>531</v>
      </c>
      <c r="B15" s="8" t="s">
        <v>532</v>
      </c>
      <c r="C15" s="65">
        <v>1</v>
      </c>
      <c r="D15" s="4"/>
      <c r="E15" s="4"/>
      <c r="F15" s="4"/>
      <c r="G15" s="4"/>
      <c r="H15" s="4"/>
      <c r="I15" s="4"/>
    </row>
    <row r="16" spans="1:9" ht="13.8" x14ac:dyDescent="0.3">
      <c r="A16" s="58" t="s">
        <v>533</v>
      </c>
      <c r="B16" s="8" t="s">
        <v>534</v>
      </c>
      <c r="C16" s="65">
        <v>1</v>
      </c>
      <c r="D16" s="4"/>
      <c r="E16" s="4"/>
      <c r="F16" s="4"/>
      <c r="G16" s="4"/>
      <c r="H16" s="4"/>
      <c r="I16" s="4"/>
    </row>
    <row r="17" spans="1:9" ht="14.4" thickBot="1" x14ac:dyDescent="0.35">
      <c r="A17" s="61" t="s">
        <v>535</v>
      </c>
      <c r="B17" s="62" t="s">
        <v>536</v>
      </c>
      <c r="C17" s="73">
        <v>1</v>
      </c>
      <c r="D17" s="4"/>
      <c r="E17" s="4"/>
      <c r="F17" s="4"/>
      <c r="G17" s="4"/>
      <c r="H17" s="4"/>
      <c r="I17" s="4"/>
    </row>
    <row r="18" spans="1:9" ht="13.8" x14ac:dyDescent="0.3">
      <c r="A18" s="4"/>
      <c r="B18" s="4"/>
      <c r="C18" s="4"/>
      <c r="D18" s="4"/>
      <c r="E18" s="4"/>
      <c r="F18" s="4"/>
      <c r="G18" s="4"/>
      <c r="H18" s="4"/>
      <c r="I18" s="4"/>
    </row>
    <row r="19" spans="1:9" ht="14.4" thickBot="1" x14ac:dyDescent="0.35">
      <c r="A19" s="5" t="s">
        <v>537</v>
      </c>
      <c r="B19" s="4"/>
      <c r="C19" s="4"/>
      <c r="D19" s="4"/>
      <c r="E19" s="4"/>
      <c r="F19" s="4"/>
      <c r="G19" s="4"/>
      <c r="H19" s="4"/>
      <c r="I19" s="4"/>
    </row>
    <row r="20" spans="1:9" ht="13.8" x14ac:dyDescent="0.3">
      <c r="A20" s="55" t="s">
        <v>538</v>
      </c>
      <c r="B20" s="56" t="s">
        <v>539</v>
      </c>
      <c r="C20" s="155">
        <f>MAX(Mission!I17*SQRT(Atmosphere!H20),Mission!I27*SQRT(Atmosphere!H23),Mission!I43*SQRT(Atmosphere!H26))/1.69</f>
        <v>515.9910732035836</v>
      </c>
      <c r="D20" s="4"/>
      <c r="E20" s="4"/>
      <c r="F20" s="4"/>
      <c r="G20" s="4"/>
      <c r="H20" s="4"/>
      <c r="I20" s="4"/>
    </row>
    <row r="21" spans="1:9" ht="14.4" thickBot="1" x14ac:dyDescent="0.35">
      <c r="A21" s="61" t="s">
        <v>540</v>
      </c>
      <c r="B21" s="62" t="s">
        <v>541</v>
      </c>
      <c r="C21" s="152">
        <f>1.25*C20</f>
        <v>644.98884150447952</v>
      </c>
      <c r="D21" s="4"/>
      <c r="E21" s="4"/>
      <c r="F21" s="4"/>
      <c r="G21" s="4"/>
      <c r="H21" s="4"/>
      <c r="I21" s="4"/>
    </row>
    <row r="22" spans="1:9" ht="13.8" x14ac:dyDescent="0.3">
      <c r="A22" s="4"/>
      <c r="B22" s="4"/>
      <c r="C22" s="4"/>
      <c r="D22" s="4"/>
      <c r="E22" s="4"/>
      <c r="F22" s="4"/>
      <c r="G22" s="4"/>
      <c r="H22" s="4"/>
      <c r="I22" s="4"/>
    </row>
    <row r="23" spans="1:9" ht="13.8" x14ac:dyDescent="0.3">
      <c r="A23" s="4"/>
      <c r="B23" s="4"/>
      <c r="C23" s="4"/>
      <c r="D23" s="4"/>
      <c r="E23" s="4"/>
      <c r="F23" s="4"/>
      <c r="G23" s="4"/>
      <c r="H23" s="4"/>
      <c r="I23" s="4"/>
    </row>
    <row r="24" spans="1:9" ht="14.4" thickBot="1" x14ac:dyDescent="0.35">
      <c r="A24" s="5" t="s">
        <v>542</v>
      </c>
      <c r="B24" s="4"/>
      <c r="C24" s="4"/>
      <c r="D24" s="4"/>
      <c r="E24" s="4"/>
      <c r="F24" s="4"/>
      <c r="G24" s="4"/>
      <c r="H24" s="4"/>
      <c r="I24" s="4"/>
    </row>
    <row r="25" spans="1:9" ht="13.8" x14ac:dyDescent="0.3">
      <c r="A25" s="55" t="s">
        <v>543</v>
      </c>
      <c r="B25" s="56" t="s">
        <v>544</v>
      </c>
      <c r="C25" s="157" t="s">
        <v>85</v>
      </c>
      <c r="D25" s="4"/>
      <c r="E25" s="4"/>
      <c r="F25" s="4"/>
      <c r="G25" s="4"/>
      <c r="H25" s="4"/>
      <c r="I25" s="4"/>
    </row>
    <row r="26" spans="1:9" ht="13.8" x14ac:dyDescent="0.3">
      <c r="A26" s="58" t="s">
        <v>545</v>
      </c>
      <c r="B26" s="8" t="s">
        <v>546</v>
      </c>
      <c r="C26" s="71" t="s">
        <v>97</v>
      </c>
      <c r="D26" s="4"/>
      <c r="E26" s="4"/>
      <c r="F26" s="4"/>
      <c r="G26" s="4"/>
      <c r="H26" s="4"/>
      <c r="I26" s="4"/>
    </row>
    <row r="27" spans="1:9" ht="13.8" x14ac:dyDescent="0.3">
      <c r="A27" s="58" t="s">
        <v>547</v>
      </c>
      <c r="B27" s="8" t="s">
        <v>548</v>
      </c>
      <c r="C27" s="71" t="s">
        <v>97</v>
      </c>
      <c r="D27" s="4"/>
      <c r="E27" s="4"/>
      <c r="F27" s="4"/>
      <c r="G27" s="4"/>
      <c r="H27" s="4"/>
      <c r="I27" s="4"/>
    </row>
    <row r="28" spans="1:9" ht="13.8" x14ac:dyDescent="0.3">
      <c r="A28" s="58" t="s">
        <v>549</v>
      </c>
      <c r="B28" s="8" t="s">
        <v>550</v>
      </c>
      <c r="C28" s="65">
        <v>10</v>
      </c>
      <c r="D28" s="4"/>
      <c r="E28" s="4"/>
      <c r="F28" s="4"/>
      <c r="G28" s="4"/>
      <c r="H28" s="4"/>
      <c r="I28" s="4"/>
    </row>
    <row r="29" spans="1:9" ht="13.8" x14ac:dyDescent="0.3">
      <c r="A29" s="58" t="s">
        <v>551</v>
      </c>
      <c r="B29" s="8" t="s">
        <v>552</v>
      </c>
      <c r="C29" s="65">
        <v>5</v>
      </c>
      <c r="D29" s="4"/>
      <c r="E29" s="4"/>
      <c r="F29" s="4"/>
      <c r="G29" s="4"/>
      <c r="H29" s="4"/>
      <c r="I29" s="4"/>
    </row>
    <row r="30" spans="1:9" ht="13.8" x14ac:dyDescent="0.3">
      <c r="A30" s="58" t="s">
        <v>553</v>
      </c>
      <c r="B30" s="8" t="s">
        <v>554</v>
      </c>
      <c r="C30" s="71" t="s">
        <v>97</v>
      </c>
      <c r="D30" s="4"/>
      <c r="E30" s="4"/>
      <c r="F30" s="4"/>
      <c r="G30" s="4"/>
      <c r="H30" s="4"/>
      <c r="I30" s="4"/>
    </row>
    <row r="31" spans="1:9" ht="13.8" x14ac:dyDescent="0.3">
      <c r="A31" s="58" t="s">
        <v>555</v>
      </c>
      <c r="B31" s="8" t="s">
        <v>556</v>
      </c>
      <c r="C31" s="65">
        <v>2</v>
      </c>
      <c r="D31" s="4"/>
      <c r="E31" s="4"/>
      <c r="F31" s="4"/>
      <c r="G31" s="4"/>
      <c r="H31" s="4"/>
      <c r="I31" s="4"/>
    </row>
    <row r="32" spans="1:9" ht="13.8" x14ac:dyDescent="0.3">
      <c r="A32" s="58" t="s">
        <v>557</v>
      </c>
      <c r="B32" s="8" t="s">
        <v>558</v>
      </c>
      <c r="C32" s="71" t="s">
        <v>97</v>
      </c>
      <c r="D32" s="4"/>
      <c r="E32" s="4"/>
      <c r="F32" s="4"/>
      <c r="G32" s="4"/>
      <c r="H32" s="4"/>
      <c r="I32" s="4"/>
    </row>
    <row r="33" spans="1:9" ht="14.4" thickBot="1" x14ac:dyDescent="0.35">
      <c r="A33" s="61" t="s">
        <v>559</v>
      </c>
      <c r="B33" s="62" t="s">
        <v>560</v>
      </c>
      <c r="C33" s="73">
        <v>6.55</v>
      </c>
      <c r="D33" s="4"/>
      <c r="E33" s="4"/>
      <c r="F33" s="4"/>
      <c r="G33" s="4"/>
      <c r="H33" s="4"/>
      <c r="I33" s="4"/>
    </row>
    <row r="34" spans="1:9" ht="13.8" x14ac:dyDescent="0.3">
      <c r="A34" s="4"/>
      <c r="B34" s="4"/>
      <c r="C34" s="4"/>
      <c r="D34" s="4"/>
      <c r="E34" s="4"/>
      <c r="F34" s="4"/>
      <c r="G34" s="4"/>
      <c r="H34" s="4"/>
      <c r="I34" s="4"/>
    </row>
    <row r="35" spans="1:9" ht="13.8" x14ac:dyDescent="0.3">
      <c r="A35" s="4"/>
      <c r="B35" s="4"/>
      <c r="C35" s="4"/>
      <c r="D35" s="4"/>
      <c r="E35" s="4"/>
      <c r="F35" s="4"/>
      <c r="G35" s="4"/>
      <c r="H35" s="4"/>
      <c r="I35" s="4"/>
    </row>
    <row r="36" spans="1:9" ht="13.8" x14ac:dyDescent="0.3">
      <c r="A36" s="4"/>
      <c r="B36" s="4"/>
      <c r="C36" s="31"/>
      <c r="D36" s="4"/>
      <c r="E36" s="4"/>
      <c r="F36" s="4"/>
      <c r="G36" s="4"/>
      <c r="H36" s="4"/>
      <c r="I36" s="4"/>
    </row>
    <row r="37" spans="1:9" ht="13.8" x14ac:dyDescent="0.3">
      <c r="A37" s="4"/>
      <c r="B37" s="4"/>
      <c r="C37" s="31"/>
      <c r="D37" s="4"/>
      <c r="E37" s="4"/>
      <c r="F37" s="4"/>
      <c r="G37" s="4"/>
      <c r="H37" s="4"/>
      <c r="I37" s="4"/>
    </row>
    <row r="38" spans="1:9" ht="14.4" thickBot="1" x14ac:dyDescent="0.35">
      <c r="A38" s="2"/>
      <c r="B38" s="3"/>
      <c r="C38" s="31"/>
      <c r="D38" s="4"/>
      <c r="E38" s="4"/>
      <c r="F38" s="4"/>
      <c r="G38" s="4"/>
      <c r="H38" s="4"/>
      <c r="I38" s="4"/>
    </row>
    <row r="39" spans="1:9" ht="13.8" x14ac:dyDescent="0.3">
      <c r="A39" s="55" t="s">
        <v>368</v>
      </c>
      <c r="B39" s="92"/>
      <c r="C39" s="146">
        <f>Baseline!C3</f>
        <v>47550.272049316409</v>
      </c>
      <c r="D39" s="20"/>
      <c r="E39" s="20"/>
      <c r="F39" s="20"/>
      <c r="G39" s="20"/>
      <c r="H39" s="20"/>
      <c r="I39" s="20"/>
    </row>
    <row r="40" spans="1:9" ht="13.8" x14ac:dyDescent="0.3">
      <c r="A40" s="58" t="s">
        <v>562</v>
      </c>
      <c r="B40" s="10"/>
      <c r="C40" s="147">
        <f>C39-Mission!C84</f>
        <v>30207.560873933962</v>
      </c>
      <c r="D40" s="39"/>
      <c r="E40" s="39"/>
      <c r="F40" s="39"/>
      <c r="G40" s="39"/>
      <c r="H40" s="39"/>
      <c r="I40" s="39"/>
    </row>
    <row r="41" spans="1:9" ht="13.8" x14ac:dyDescent="0.3">
      <c r="A41" s="58" t="s">
        <v>122</v>
      </c>
      <c r="B41" s="10"/>
      <c r="C41" s="148">
        <f>SQRT(Baseline!$C$20*C39/Baseline!$C$8)</f>
        <v>79.624344727238963</v>
      </c>
      <c r="D41" s="20"/>
      <c r="E41" s="20"/>
      <c r="F41" s="20"/>
      <c r="G41" s="20"/>
      <c r="H41" s="20"/>
      <c r="I41" s="20"/>
    </row>
    <row r="42" spans="1:9" ht="13.8" x14ac:dyDescent="0.3">
      <c r="A42" s="58" t="s">
        <v>131</v>
      </c>
      <c r="B42" s="10"/>
      <c r="C42" s="148">
        <f>2*C41/(Baseline!$C$20*(1+Baseline!$C$21))</f>
        <v>14.218632987006959</v>
      </c>
      <c r="D42" s="20"/>
      <c r="E42" s="20"/>
      <c r="F42" s="20"/>
      <c r="G42" s="20"/>
      <c r="H42" s="20"/>
      <c r="I42" s="20"/>
    </row>
    <row r="43" spans="1:9" ht="13.8" x14ac:dyDescent="0.3">
      <c r="A43" s="58" t="s">
        <v>563</v>
      </c>
      <c r="B43" s="10"/>
      <c r="C43" s="148">
        <f>C42*Baseline!$C$22</f>
        <v>1.7687979435836656</v>
      </c>
      <c r="D43" s="20"/>
      <c r="E43" s="20"/>
      <c r="F43" s="20"/>
      <c r="G43" s="20"/>
      <c r="H43" s="20"/>
      <c r="I43" s="20"/>
    </row>
    <row r="44" spans="1:9" ht="13.8" x14ac:dyDescent="0.3">
      <c r="A44" s="58" t="s">
        <v>564</v>
      </c>
      <c r="B44" s="10"/>
      <c r="C44" s="147">
        <f>C39/Baseline!$C$8</f>
        <v>792.50453415527352</v>
      </c>
      <c r="D44" s="20"/>
      <c r="E44" s="20"/>
      <c r="F44" s="20"/>
      <c r="G44" s="20"/>
      <c r="H44" s="20"/>
      <c r="I44" s="20"/>
    </row>
    <row r="45" spans="1:9" ht="13.8" x14ac:dyDescent="0.3">
      <c r="A45" s="58" t="s">
        <v>565</v>
      </c>
      <c r="B45" s="10"/>
      <c r="C45" s="148">
        <f>2/3*C42*(1+Baseline!$C$21+Baseline!$C$21^2)/(1+Baseline!$C$21)</f>
        <v>10.562413076062311</v>
      </c>
      <c r="D45" s="20"/>
      <c r="E45" s="20"/>
      <c r="F45" s="20"/>
      <c r="G45" s="20"/>
      <c r="H45" s="20"/>
      <c r="I45" s="20"/>
    </row>
    <row r="46" spans="1:9" ht="13.8" x14ac:dyDescent="0.3">
      <c r="A46" s="58" t="s">
        <v>566</v>
      </c>
      <c r="B46" s="10"/>
      <c r="C46" s="148">
        <f>Baseline!$I$20*C44*C45/Baseline!$I$27</f>
        <v>223.47139625830749</v>
      </c>
      <c r="D46" s="20"/>
      <c r="E46" s="20"/>
      <c r="F46" s="20"/>
      <c r="G46" s="20"/>
      <c r="H46" s="20"/>
      <c r="I46" s="20"/>
    </row>
    <row r="47" spans="1:9" ht="13.8" x14ac:dyDescent="0.3">
      <c r="A47" s="58" t="s">
        <v>567</v>
      </c>
      <c r="B47" s="10"/>
      <c r="C47" s="148">
        <f>Baseline!$O$20*C44*C41/Baseline!$O$26</f>
        <v>226.6117416937106</v>
      </c>
      <c r="D47" s="20"/>
      <c r="E47" s="20"/>
      <c r="F47" s="20"/>
      <c r="G47" s="20"/>
      <c r="H47" s="20"/>
      <c r="I47" s="20"/>
    </row>
    <row r="48" spans="1:9" ht="13.8" x14ac:dyDescent="0.3">
      <c r="A48" s="58" t="s">
        <v>568</v>
      </c>
      <c r="B48" s="10"/>
      <c r="C48" s="148">
        <f>SQRT(Baseline!$I$22*C46)</f>
        <v>29.897919409772147</v>
      </c>
      <c r="D48" s="20"/>
      <c r="E48" s="20"/>
      <c r="F48" s="20"/>
      <c r="G48" s="20"/>
      <c r="H48" s="20"/>
      <c r="I48" s="20"/>
    </row>
    <row r="49" spans="1:9" ht="13.8" x14ac:dyDescent="0.3">
      <c r="A49" s="58" t="s">
        <v>569</v>
      </c>
      <c r="B49" s="10"/>
      <c r="C49" s="149">
        <f>2*C48/(Baseline!$I$22*(1+Baseline!R24))*Baseline!$I$23</f>
        <v>1.4948959704886073</v>
      </c>
      <c r="D49" s="20"/>
      <c r="E49" s="20"/>
      <c r="F49" s="20"/>
      <c r="G49" s="20"/>
      <c r="H49" s="20"/>
      <c r="I49" s="20"/>
    </row>
    <row r="50" spans="1:9" ht="14.4" thickBot="1" x14ac:dyDescent="0.35">
      <c r="A50" s="61" t="s">
        <v>570</v>
      </c>
      <c r="B50" s="79" t="s">
        <v>714</v>
      </c>
      <c r="C50" s="150">
        <f>C41/COS(LAMBDA2/57.3)</f>
        <v>87.985681183300699</v>
      </c>
      <c r="D50" s="20"/>
      <c r="E50" s="20"/>
      <c r="F50" s="20"/>
      <c r="G50" s="20"/>
      <c r="H50" s="20"/>
      <c r="I50" s="20"/>
    </row>
    <row r="51" spans="1:9" ht="13.8" x14ac:dyDescent="0.3">
      <c r="A51" s="4"/>
      <c r="B51" s="4"/>
      <c r="C51" s="4"/>
      <c r="D51" s="4"/>
      <c r="E51" s="4"/>
      <c r="F51" s="4"/>
      <c r="G51" s="4"/>
      <c r="H51" s="4"/>
      <c r="I51" s="4"/>
    </row>
    <row r="52" spans="1:9" ht="13.8" x14ac:dyDescent="0.3">
      <c r="A52" s="4"/>
      <c r="B52" s="4"/>
      <c r="C52" s="4"/>
      <c r="D52" s="4"/>
      <c r="E52" s="4"/>
      <c r="F52" s="4"/>
      <c r="G52" s="4"/>
      <c r="H52" s="4"/>
      <c r="I52" s="4"/>
    </row>
    <row r="53" spans="1:9" ht="13.8" x14ac:dyDescent="0.3">
      <c r="A53" s="4"/>
      <c r="B53" s="4"/>
      <c r="C53" s="4"/>
      <c r="D53" s="4"/>
      <c r="E53" s="4"/>
      <c r="F53" s="4"/>
      <c r="G53" s="4"/>
      <c r="H53" s="4"/>
      <c r="I53" s="4"/>
    </row>
    <row r="54" spans="1:9" ht="13.8" x14ac:dyDescent="0.3">
      <c r="A54" s="4"/>
      <c r="B54" s="4"/>
      <c r="C54" s="4"/>
      <c r="D54" s="4"/>
      <c r="E54" s="4"/>
      <c r="F54" s="4"/>
      <c r="G54" s="4"/>
      <c r="H54" s="4"/>
      <c r="I54" s="4"/>
    </row>
    <row r="55" spans="1:9" ht="13.8" x14ac:dyDescent="0.3">
      <c r="A55" s="2"/>
      <c r="B55" s="3"/>
      <c r="C55" s="3"/>
      <c r="D55" s="3"/>
      <c r="E55" s="4"/>
      <c r="F55" s="4"/>
      <c r="G55" s="4"/>
      <c r="H55" s="4"/>
      <c r="I55" s="4"/>
    </row>
    <row r="56" spans="1:9" ht="13.8" x14ac:dyDescent="0.3">
      <c r="A56" s="5"/>
      <c r="B56" s="4"/>
      <c r="C56" s="4"/>
      <c r="D56" s="4"/>
      <c r="E56" s="4"/>
      <c r="F56" s="4"/>
      <c r="G56" s="4"/>
      <c r="H56" s="4"/>
      <c r="I56" s="4"/>
    </row>
    <row r="57" spans="1:9" ht="13.8" x14ac:dyDescent="0.3">
      <c r="A57" s="5"/>
      <c r="B57" s="4"/>
      <c r="C57" s="4"/>
      <c r="D57" s="4"/>
      <c r="E57" s="4"/>
      <c r="F57" s="4"/>
      <c r="G57" s="4"/>
      <c r="H57" s="4"/>
      <c r="I57" s="4"/>
    </row>
    <row r="58" spans="1:9" ht="14.4" thickBot="1" x14ac:dyDescent="0.35">
      <c r="A58" s="2" t="s">
        <v>561</v>
      </c>
      <c r="B58" s="4"/>
      <c r="C58" s="4"/>
      <c r="D58" s="4"/>
      <c r="E58" s="4"/>
      <c r="F58" s="4"/>
      <c r="G58" s="4"/>
      <c r="H58" s="4"/>
      <c r="I58" s="4"/>
    </row>
    <row r="59" spans="1:9" ht="13.8" x14ac:dyDescent="0.3">
      <c r="A59" s="55" t="s">
        <v>571</v>
      </c>
      <c r="B59" s="92"/>
      <c r="C59" s="93"/>
      <c r="D59" s="4"/>
      <c r="E59" s="4"/>
      <c r="F59" s="4"/>
      <c r="G59" s="4"/>
      <c r="H59" s="4"/>
      <c r="I59" s="4"/>
    </row>
    <row r="60" spans="1:9" ht="13.8" x14ac:dyDescent="0.3">
      <c r="A60" s="58" t="s">
        <v>572</v>
      </c>
      <c r="B60" s="10"/>
      <c r="C60" s="145">
        <f>0.0017*C40*SPANEFF^0.75*(1+SQRT(C41/SPANEFF))*Baseline!$C$10^0.55*(SPANEFF/C43/(C40/C44))^0.3*RFWING</f>
        <v>7130.9960575285932</v>
      </c>
      <c r="D60" s="39"/>
      <c r="E60" s="39"/>
      <c r="F60" s="39"/>
      <c r="G60" s="39"/>
      <c r="H60" s="39"/>
      <c r="I60" s="39"/>
    </row>
    <row r="61" spans="1:9" ht="13.8" x14ac:dyDescent="0.3">
      <c r="A61" s="58" t="s">
        <v>573</v>
      </c>
      <c r="B61" s="10"/>
      <c r="C61" s="145">
        <f>Baseline!$I$41*C46*(3.81*(C46^0.2*$C$21)/(1000*COS(Baseline!$I$26/57.3)^0.5)-0.287)*RFHORZT</f>
        <v>1660.0011729329531</v>
      </c>
      <c r="D61" s="39"/>
      <c r="E61" s="39"/>
      <c r="F61" s="39"/>
      <c r="G61" s="39"/>
      <c r="H61" s="39"/>
      <c r="I61" s="39"/>
    </row>
    <row r="62" spans="1:9" ht="13.8" x14ac:dyDescent="0.3">
      <c r="A62" s="58" t="s">
        <v>574</v>
      </c>
      <c r="B62" s="10"/>
      <c r="C62" s="145">
        <f>Baseline!$O$42*C47*(3.81*C47^0.2*$C$21/(1000*(COS(Baseline!$O$25/57.3))^0.5)-0.287)*RFVERTT</f>
        <v>2119.060531781894</v>
      </c>
      <c r="D62" s="39"/>
      <c r="E62" s="39"/>
      <c r="F62" s="39"/>
      <c r="G62" s="39"/>
      <c r="H62" s="39"/>
      <c r="I62" s="39"/>
    </row>
    <row r="63" spans="1:9" ht="13.8" x14ac:dyDescent="0.3">
      <c r="A63" s="58" t="s">
        <v>575</v>
      </c>
      <c r="B63" s="10"/>
      <c r="C63" s="145">
        <f>0.021*Baseline!$U$46*Baseline!$U$47*Baseline!$U$48*($C$21*Baseline!$I$27/(Baseline!$U$22+Baseline!$U$21))^0.5*(Baseline!$U$37+Baseline!$U$38+Baseline!$U$40)^1.2*RFFUSE</f>
        <v>4541.2897668030555</v>
      </c>
      <c r="D63" s="39"/>
      <c r="E63" s="39"/>
      <c r="F63" s="39"/>
      <c r="G63" s="39"/>
      <c r="H63" s="39"/>
      <c r="I63" s="39"/>
    </row>
    <row r="64" spans="1:9" ht="13.8" x14ac:dyDescent="0.3">
      <c r="A64" s="58" t="s">
        <v>576</v>
      </c>
      <c r="B64" s="10"/>
      <c r="C64" s="145">
        <f>IF($C$25="Y",0.055*C$39*Baseline!$C$7,0.065*C$39*Baseline!$C$7)*(1-$C$16/100)*RFNAC</f>
        <v>1035.6449252341115</v>
      </c>
      <c r="D64" s="39"/>
      <c r="E64" s="39"/>
      <c r="F64" s="39"/>
      <c r="G64" s="39"/>
      <c r="H64" s="39"/>
      <c r="I64" s="39"/>
    </row>
    <row r="65" spans="1:9" ht="13.8" x14ac:dyDescent="0.3">
      <c r="A65" s="58" t="s">
        <v>577</v>
      </c>
      <c r="B65" s="10"/>
      <c r="C65" s="145">
        <f>62.21*(C$39/1000)^0.84*(1-$C$17/100)*RFGEAR</f>
        <v>1578.7156746637925</v>
      </c>
      <c r="D65" s="39"/>
      <c r="E65" s="39"/>
      <c r="F65" s="39"/>
      <c r="G65" s="39"/>
      <c r="H65" s="39"/>
      <c r="I65" s="39"/>
    </row>
    <row r="66" spans="1:9" ht="13.8" x14ac:dyDescent="0.3">
      <c r="A66" s="58" t="s">
        <v>578</v>
      </c>
      <c r="B66" s="10"/>
      <c r="C66" s="145"/>
      <c r="D66" s="39"/>
      <c r="E66" s="39"/>
      <c r="F66" s="39"/>
      <c r="G66" s="39"/>
      <c r="H66" s="39"/>
      <c r="I66" s="39"/>
    </row>
    <row r="67" spans="1:9" ht="13.8" x14ac:dyDescent="0.3">
      <c r="A67" s="58" t="s">
        <v>579</v>
      </c>
      <c r="B67" s="10"/>
      <c r="C67" s="145">
        <f>C$39*Baseline!$C$7/IF($C$26="Y",7,4.7)</f>
        <v>4046.8316637716093</v>
      </c>
      <c r="D67" s="39"/>
      <c r="E67" s="39"/>
      <c r="F67" s="39"/>
      <c r="G67" s="39"/>
      <c r="H67" s="39"/>
      <c r="I67" s="39"/>
    </row>
    <row r="68" spans="1:9" ht="13.8" x14ac:dyDescent="0.3">
      <c r="A68" s="58" t="s">
        <v>580</v>
      </c>
      <c r="B68" s="10"/>
      <c r="C68" s="145">
        <f>11.45*($C$28*$C$31*(C$39*Baseline!$C$7/$C$29/$C$31)^0.5*IF($C$30="Y",1,1.3))^0.7331</f>
        <v>1986.6344957229944</v>
      </c>
      <c r="D68" s="39"/>
      <c r="E68" s="39"/>
      <c r="F68" s="39"/>
      <c r="G68" s="39"/>
      <c r="H68" s="39"/>
      <c r="I68" s="39"/>
    </row>
    <row r="69" spans="1:9" ht="13.8" x14ac:dyDescent="0.3">
      <c r="A69" s="58" t="s">
        <v>581</v>
      </c>
      <c r="B69" s="10"/>
      <c r="C69" s="145"/>
      <c r="D69" s="39"/>
      <c r="E69" s="39"/>
      <c r="F69" s="39"/>
      <c r="G69" s="39"/>
      <c r="H69" s="39"/>
      <c r="I69" s="39"/>
    </row>
    <row r="70" spans="1:9" ht="13.8" x14ac:dyDescent="0.3">
      <c r="A70" s="58" t="s">
        <v>582</v>
      </c>
      <c r="B70" s="10"/>
      <c r="C70" s="145">
        <f>3.2*(Mission!L55/$C$33)^0.727</f>
        <v>0</v>
      </c>
      <c r="D70" s="39"/>
      <c r="E70" s="39"/>
      <c r="F70" s="39"/>
      <c r="G70" s="39"/>
      <c r="H70" s="39"/>
      <c r="I70" s="39"/>
    </row>
    <row r="71" spans="1:9" ht="13.8" x14ac:dyDescent="0.3">
      <c r="A71" s="58" t="s">
        <v>583</v>
      </c>
      <c r="B71" s="10"/>
      <c r="C71" s="145">
        <f>C$39*Baseline!$C$7*Propulsion!$C$16/100</f>
        <v>190.20108819726565</v>
      </c>
      <c r="D71" s="39"/>
      <c r="E71" s="39"/>
      <c r="F71" s="39"/>
      <c r="G71" s="39"/>
      <c r="H71" s="39"/>
      <c r="I71" s="39"/>
    </row>
    <row r="72" spans="1:9" ht="13.8" x14ac:dyDescent="0.3">
      <c r="A72" s="58" t="s">
        <v>584</v>
      </c>
      <c r="B72" s="10"/>
      <c r="C72" s="145">
        <f>0.15*C$39</f>
        <v>7132.5408073974613</v>
      </c>
      <c r="D72" s="39"/>
      <c r="E72" s="39"/>
      <c r="F72" s="39"/>
      <c r="G72" s="39"/>
      <c r="H72" s="39"/>
      <c r="I72" s="39"/>
    </row>
    <row r="73" spans="1:9" ht="13.8" x14ac:dyDescent="0.3">
      <c r="A73" s="58" t="s">
        <v>585</v>
      </c>
      <c r="B73" s="10"/>
      <c r="C73" s="145"/>
      <c r="D73" s="39"/>
      <c r="E73" s="39"/>
      <c r="F73" s="39"/>
      <c r="G73" s="39"/>
      <c r="H73" s="39"/>
      <c r="I73" s="39"/>
    </row>
    <row r="74" spans="1:9" ht="13.8" x14ac:dyDescent="0.3">
      <c r="A74" s="58" t="s">
        <v>586</v>
      </c>
      <c r="B74" s="10"/>
      <c r="C74" s="145"/>
      <c r="D74" s="39"/>
      <c r="E74" s="39"/>
      <c r="F74" s="39"/>
      <c r="G74" s="39"/>
      <c r="H74" s="39"/>
      <c r="I74" s="39"/>
    </row>
    <row r="75" spans="1:9" ht="13.8" x14ac:dyDescent="0.3">
      <c r="A75" s="58" t="s">
        <v>587</v>
      </c>
      <c r="B75" s="10"/>
      <c r="C75" s="145"/>
      <c r="D75" s="39"/>
      <c r="E75" s="39"/>
      <c r="F75" s="39"/>
      <c r="G75" s="39"/>
      <c r="H75" s="39"/>
      <c r="I75" s="39"/>
    </row>
    <row r="76" spans="1:9" ht="13.8" x14ac:dyDescent="0.3">
      <c r="A76" s="58" t="s">
        <v>588</v>
      </c>
      <c r="B76" s="10"/>
      <c r="C76" s="145"/>
      <c r="D76" s="39"/>
      <c r="E76" s="39"/>
      <c r="F76" s="39"/>
      <c r="G76" s="39"/>
      <c r="H76" s="39"/>
      <c r="I76" s="39"/>
    </row>
    <row r="77" spans="1:9" ht="13.8" x14ac:dyDescent="0.3">
      <c r="A77" s="58" t="s">
        <v>589</v>
      </c>
      <c r="B77" s="10"/>
      <c r="C77" s="145"/>
      <c r="D77" s="39"/>
      <c r="E77" s="39"/>
      <c r="F77" s="39"/>
      <c r="G77" s="39"/>
      <c r="H77" s="39"/>
      <c r="I77" s="39"/>
    </row>
    <row r="78" spans="1:9" ht="13.8" x14ac:dyDescent="0.3">
      <c r="A78" s="58" t="s">
        <v>590</v>
      </c>
      <c r="B78" s="10"/>
      <c r="C78" s="145"/>
      <c r="D78" s="39"/>
      <c r="E78" s="39"/>
      <c r="F78" s="39"/>
      <c r="G78" s="39"/>
      <c r="H78" s="39"/>
      <c r="I78" s="39"/>
    </row>
    <row r="79" spans="1:9" ht="13.8" x14ac:dyDescent="0.3">
      <c r="A79" s="58" t="s">
        <v>591</v>
      </c>
      <c r="B79" s="10"/>
      <c r="C79" s="145"/>
      <c r="D79" s="39"/>
      <c r="E79" s="39"/>
      <c r="F79" s="39"/>
      <c r="G79" s="39"/>
      <c r="H79" s="39"/>
      <c r="I79" s="39"/>
    </row>
    <row r="80" spans="1:9" ht="13.8" x14ac:dyDescent="0.3">
      <c r="A80" s="58" t="s">
        <v>592</v>
      </c>
      <c r="B80" s="10"/>
      <c r="C80" s="145"/>
      <c r="D80" s="39"/>
      <c r="E80" s="39"/>
      <c r="F80" s="39"/>
      <c r="G80" s="39"/>
      <c r="H80" s="39"/>
      <c r="I80" s="39"/>
    </row>
    <row r="81" spans="1:9" ht="13.8" x14ac:dyDescent="0.3">
      <c r="A81" s="58" t="s">
        <v>593</v>
      </c>
      <c r="B81" s="10"/>
      <c r="C81" s="145"/>
      <c r="D81" s="39"/>
      <c r="E81" s="39"/>
      <c r="F81" s="39"/>
      <c r="G81" s="39"/>
      <c r="H81" s="39"/>
      <c r="I81" s="39"/>
    </row>
    <row r="82" spans="1:9" ht="13.8" x14ac:dyDescent="0.3">
      <c r="A82" s="58" t="s">
        <v>594</v>
      </c>
      <c r="B82" s="10"/>
      <c r="C82" s="145"/>
      <c r="D82" s="39"/>
      <c r="E82" s="39"/>
      <c r="F82" s="39"/>
      <c r="G82" s="39"/>
      <c r="H82" s="39"/>
      <c r="I82" s="39"/>
    </row>
    <row r="83" spans="1:9" ht="13.8" x14ac:dyDescent="0.3">
      <c r="A83" s="58" t="s">
        <v>595</v>
      </c>
      <c r="B83" s="10"/>
      <c r="C83" s="86"/>
      <c r="D83" s="25"/>
      <c r="E83" s="25"/>
      <c r="F83" s="25"/>
      <c r="G83" s="25"/>
      <c r="H83" s="25"/>
      <c r="I83" s="25"/>
    </row>
    <row r="84" spans="1:9" ht="13.8" x14ac:dyDescent="0.3">
      <c r="A84" s="58" t="s">
        <v>596</v>
      </c>
      <c r="B84" s="10"/>
      <c r="C84" s="86"/>
      <c r="D84" s="25"/>
      <c r="E84" s="25"/>
      <c r="F84" s="25"/>
      <c r="G84" s="25"/>
      <c r="H84" s="25"/>
      <c r="I84" s="25"/>
    </row>
    <row r="85" spans="1:9" ht="13.8" x14ac:dyDescent="0.3">
      <c r="A85" s="58" t="s">
        <v>597</v>
      </c>
      <c r="B85" s="10"/>
      <c r="C85" s="86"/>
      <c r="D85" s="25"/>
      <c r="E85" s="25"/>
      <c r="F85" s="25"/>
      <c r="G85" s="25"/>
      <c r="H85" s="25"/>
      <c r="I85" s="25"/>
    </row>
    <row r="86" spans="1:9" ht="13.8" x14ac:dyDescent="0.3">
      <c r="A86" s="58" t="s">
        <v>598</v>
      </c>
      <c r="B86" s="10"/>
      <c r="C86" s="86"/>
      <c r="D86" s="25"/>
      <c r="E86" s="25"/>
      <c r="F86" s="25"/>
      <c r="G86" s="25"/>
      <c r="H86" s="25"/>
      <c r="I86" s="25"/>
    </row>
    <row r="87" spans="1:9" ht="13.8" x14ac:dyDescent="0.3">
      <c r="A87" s="58" t="s">
        <v>599</v>
      </c>
      <c r="B87" s="10"/>
      <c r="C87" s="86"/>
      <c r="D87" s="25"/>
      <c r="E87" s="25"/>
      <c r="F87" s="25"/>
      <c r="G87" s="25"/>
      <c r="H87" s="25"/>
      <c r="I87" s="25"/>
    </row>
    <row r="88" spans="1:9" ht="13.8" x14ac:dyDescent="0.3">
      <c r="A88" s="58" t="s">
        <v>600</v>
      </c>
      <c r="B88" s="10"/>
      <c r="C88" s="86"/>
      <c r="D88" s="25"/>
      <c r="E88" s="25"/>
      <c r="F88" s="25"/>
      <c r="G88" s="25"/>
      <c r="H88" s="25"/>
      <c r="I88" s="25"/>
    </row>
    <row r="89" spans="1:9" ht="13.8" x14ac:dyDescent="0.3">
      <c r="A89" s="58" t="s">
        <v>601</v>
      </c>
      <c r="B89" s="10"/>
      <c r="C89" s="86"/>
      <c r="D89" s="25"/>
      <c r="E89" s="25"/>
      <c r="F89" s="25"/>
      <c r="G89" s="25"/>
      <c r="H89" s="25"/>
      <c r="I89" s="25"/>
    </row>
    <row r="90" spans="1:9" ht="13.8" x14ac:dyDescent="0.3">
      <c r="A90" s="58" t="s">
        <v>602</v>
      </c>
      <c r="B90" s="10"/>
      <c r="C90" s="145">
        <f>SUM(C60:C88)</f>
        <v>31421.916184033733</v>
      </c>
      <c r="D90" s="39"/>
      <c r="E90" s="39"/>
      <c r="F90" s="39"/>
      <c r="G90" s="39"/>
      <c r="H90" s="39"/>
      <c r="I90" s="39"/>
    </row>
    <row r="91" spans="1:9" ht="14.4" thickBot="1" x14ac:dyDescent="0.35">
      <c r="A91" s="61" t="s">
        <v>603</v>
      </c>
      <c r="B91" s="79" t="s">
        <v>713</v>
      </c>
      <c r="C91" s="85">
        <f>C90+0.01*Mission!C84+Baseline!$C$4</f>
        <v>31845.343295787556</v>
      </c>
      <c r="D91" s="20"/>
      <c r="E91" s="20"/>
      <c r="F91" s="20"/>
      <c r="G91" s="20"/>
      <c r="H91" s="20"/>
      <c r="I91" s="20"/>
    </row>
    <row r="92" spans="1:9" ht="13.8" x14ac:dyDescent="0.3">
      <c r="A92" s="19"/>
      <c r="B92" s="25"/>
      <c r="C92" s="20"/>
      <c r="D92" s="20"/>
      <c r="E92" s="20"/>
      <c r="F92" s="20"/>
      <c r="G92" s="20"/>
      <c r="H92" s="20"/>
      <c r="I92" s="20"/>
    </row>
    <row r="93" spans="1:9" ht="13.8" x14ac:dyDescent="0.3">
      <c r="A93" s="5" t="s">
        <v>604</v>
      </c>
      <c r="B93" s="4"/>
      <c r="C93" s="4"/>
      <c r="D93" s="4"/>
      <c r="E93" s="4"/>
      <c r="F93" s="4"/>
      <c r="G93" s="4"/>
      <c r="H93" s="4"/>
      <c r="I93" s="4"/>
    </row>
    <row r="94" spans="1:9" ht="14.4" thickBot="1" x14ac:dyDescent="0.35">
      <c r="A94" s="5" t="s">
        <v>605</v>
      </c>
      <c r="B94" s="4"/>
      <c r="C94" s="4"/>
      <c r="D94" s="4"/>
      <c r="E94" s="4"/>
      <c r="F94" s="4"/>
      <c r="G94" s="4"/>
      <c r="H94" s="4"/>
      <c r="I94" s="4"/>
    </row>
    <row r="95" spans="1:9" ht="13.8" x14ac:dyDescent="0.3">
      <c r="A95" s="55" t="s">
        <v>571</v>
      </c>
      <c r="B95" s="92"/>
      <c r="C95" s="93"/>
      <c r="D95" s="25"/>
      <c r="E95" s="25"/>
      <c r="F95" s="25"/>
      <c r="G95" s="25"/>
      <c r="H95" s="25"/>
      <c r="I95" s="25"/>
    </row>
    <row r="96" spans="1:9" ht="13.8" x14ac:dyDescent="0.3">
      <c r="A96" s="58" t="s">
        <v>572</v>
      </c>
      <c r="B96" s="10"/>
      <c r="C96" s="145" t="b">
        <f>C97=3.08*(Baseline!$C$47*Baseline!$C$10*C39/Baseline!$C$22*((TAN(Baseline!$C$23/57.3)-2*(1-Baseline!$C$21)/Baseline!$C$20/(1+Baseline!$C$21))^2+1)/1000000)^0.593*((1+Baseline!$C$21)*Baseline!$C$20)^0.89*Baseline!$C$35^0.741*(1-$C$12/100)*RFWING</f>
        <v>0</v>
      </c>
      <c r="D96" s="39"/>
      <c r="E96" s="39"/>
      <c r="F96" s="39"/>
      <c r="G96" s="39"/>
      <c r="H96" s="39"/>
      <c r="I96" s="39"/>
    </row>
    <row r="97" spans="1:9" ht="13.8" x14ac:dyDescent="0.3">
      <c r="A97" s="58" t="s">
        <v>573</v>
      </c>
      <c r="B97" s="10"/>
      <c r="C97" s="145">
        <f>0.0034*((C39*Baseline!$C$10)^0.813*C46^0.584*(C48/C49)^0.033*(C45/Baseline!$I$27)^0.28)^0.915*(1-$C$13/100)*RFHORZT</f>
        <v>468.60925424064538</v>
      </c>
      <c r="D97" s="39"/>
      <c r="E97" s="39"/>
      <c r="F97" s="39"/>
      <c r="G97" s="39"/>
      <c r="H97" s="39"/>
      <c r="I97" s="39"/>
    </row>
    <row r="98" spans="1:9" ht="13.8" x14ac:dyDescent="0.3">
      <c r="A98" s="58" t="s">
        <v>574</v>
      </c>
      <c r="B98" s="10"/>
      <c r="C98" s="145">
        <f>0.19*((1+Baseline!$O$27)^0.5*(C39*Baseline!$C$10)^0.363*C47^1.089*Baseline!$C$11^0.601*Baseline!$O$26^-0.726*(1+C44/C47)^0.217*Baseline!$O$22^0.337*(1+Baseline!$O$24)^0.363*(COS(Baseline!$O$25/57.3))^-0.484)^1.014*(1-$C$14/100)*RFVERTT</f>
        <v>1708.8703500779718</v>
      </c>
      <c r="D98" s="39"/>
      <c r="E98" s="39"/>
      <c r="F98" s="39"/>
      <c r="G98" s="39"/>
      <c r="H98" s="39"/>
      <c r="I98" s="39"/>
    </row>
    <row r="99" spans="1:9" ht="13.8" x14ac:dyDescent="0.3">
      <c r="A99" s="58" t="s">
        <v>575</v>
      </c>
      <c r="B99" s="10"/>
      <c r="C99" s="145">
        <f>10.43*Baseline!$U$45^1.42*(Baseline!$I$11*1.25/100)^0.283*(C39/1000)^0.95*(Baseline!$U$20/Baseline!$U$21)^0.71*(1-$C$15/100)*RFFUSE</f>
        <v>3395.4100928268213</v>
      </c>
      <c r="D99" s="39"/>
      <c r="E99" s="39"/>
      <c r="F99" s="39"/>
      <c r="G99" s="39"/>
      <c r="H99" s="39"/>
      <c r="I99" s="39"/>
    </row>
    <row r="100" spans="1:9" ht="13.8" x14ac:dyDescent="0.3">
      <c r="A100" s="58" t="s">
        <v>576</v>
      </c>
      <c r="B100" s="10"/>
      <c r="C100" s="145">
        <f>IF($C$25="Y",0.055*C$39*Baseline!$C$7,0.065*C$39*Baseline!$C$7)*(1-$C$16/100)*RFNAC</f>
        <v>1035.6449252341115</v>
      </c>
      <c r="D100" s="39"/>
      <c r="E100" s="39"/>
      <c r="F100" s="39"/>
      <c r="G100" s="39"/>
      <c r="H100" s="39"/>
      <c r="I100" s="39"/>
    </row>
    <row r="101" spans="1:9" ht="13.8" x14ac:dyDescent="0.3">
      <c r="A101" s="58" t="s">
        <v>577</v>
      </c>
      <c r="B101" s="10"/>
      <c r="C101" s="145">
        <f>62.21*(C39/1000)^0.84*(1-$C$17/100)*RFGEAR</f>
        <v>1578.7156746637925</v>
      </c>
      <c r="D101" s="39"/>
      <c r="E101" s="39"/>
      <c r="F101" s="39"/>
      <c r="G101" s="39"/>
      <c r="H101" s="39"/>
      <c r="I101" s="39"/>
    </row>
    <row r="102" spans="1:9" ht="13.8" x14ac:dyDescent="0.3">
      <c r="A102" s="58" t="s">
        <v>578</v>
      </c>
      <c r="B102" s="10"/>
      <c r="C102" s="145"/>
      <c r="D102" s="39"/>
      <c r="E102" s="39"/>
      <c r="F102" s="39"/>
      <c r="G102" s="39"/>
      <c r="H102" s="39"/>
      <c r="I102" s="39"/>
    </row>
    <row r="103" spans="1:9" ht="13.8" x14ac:dyDescent="0.3">
      <c r="A103" s="58" t="s">
        <v>579</v>
      </c>
      <c r="B103" s="10"/>
      <c r="C103" s="145">
        <f>C39*Baseline!$C$7/IF($C$26="Y",7,4.7)</f>
        <v>4046.8316637716093</v>
      </c>
      <c r="D103" s="39"/>
      <c r="E103" s="39"/>
      <c r="F103" s="39"/>
      <c r="G103" s="39"/>
      <c r="H103" s="39"/>
      <c r="I103" s="39"/>
    </row>
    <row r="104" spans="1:9" ht="13.8" x14ac:dyDescent="0.3">
      <c r="A104" s="58" t="s">
        <v>580</v>
      </c>
      <c r="B104" s="10"/>
      <c r="C104" s="145">
        <f>11.45*($C$28*$C$31*(C39*Baseline!$C$7/$C$29/$C$31)^0.5*IF($C$30="Y",1,1.3))^0.7331</f>
        <v>1986.6344957229944</v>
      </c>
      <c r="D104" s="39"/>
      <c r="E104" s="39"/>
      <c r="F104" s="39"/>
      <c r="G104" s="39"/>
      <c r="H104" s="39"/>
      <c r="I104" s="39"/>
    </row>
    <row r="105" spans="1:9" ht="13.8" x14ac:dyDescent="0.3">
      <c r="A105" s="58" t="s">
        <v>581</v>
      </c>
      <c r="B105" s="10"/>
      <c r="C105" s="145"/>
      <c r="D105" s="39"/>
      <c r="E105" s="39"/>
      <c r="F105" s="39"/>
      <c r="G105" s="39"/>
      <c r="H105" s="39"/>
      <c r="I105" s="39"/>
    </row>
    <row r="106" spans="1:9" ht="13.8" x14ac:dyDescent="0.3">
      <c r="A106" s="58" t="s">
        <v>582</v>
      </c>
      <c r="B106" s="10"/>
      <c r="C106" s="145">
        <f>3.2*(Mission!C84/$C$33)^0.727</f>
        <v>985.32750476218882</v>
      </c>
      <c r="D106" s="39"/>
      <c r="E106" s="39"/>
      <c r="F106" s="39"/>
      <c r="G106" s="39"/>
      <c r="H106" s="39"/>
      <c r="I106" s="39"/>
    </row>
    <row r="107" spans="1:9" ht="13.8" x14ac:dyDescent="0.3">
      <c r="A107" s="58" t="s">
        <v>583</v>
      </c>
      <c r="B107" s="10"/>
      <c r="C107" s="145">
        <f>C39*Baseline!$C$7*Propulsion!$C$16/100</f>
        <v>190.20108819726565</v>
      </c>
      <c r="D107" s="39"/>
      <c r="E107" s="39"/>
      <c r="F107" s="39"/>
      <c r="G107" s="39"/>
      <c r="H107" s="39"/>
      <c r="I107" s="39"/>
    </row>
    <row r="108" spans="1:9" ht="13.8" x14ac:dyDescent="0.3">
      <c r="A108" s="58" t="s">
        <v>584</v>
      </c>
      <c r="B108" s="10"/>
      <c r="C108" s="145">
        <f>0.15*C39</f>
        <v>7132.5408073974613</v>
      </c>
      <c r="D108" s="39"/>
      <c r="E108" s="39"/>
      <c r="F108" s="39"/>
      <c r="G108" s="39"/>
      <c r="H108" s="39"/>
      <c r="I108" s="39"/>
    </row>
    <row r="109" spans="1:9" ht="13.8" x14ac:dyDescent="0.3">
      <c r="A109" s="58" t="s">
        <v>585</v>
      </c>
      <c r="B109" s="10"/>
      <c r="C109" s="145"/>
      <c r="D109" s="39"/>
      <c r="E109" s="39"/>
      <c r="F109" s="39"/>
      <c r="G109" s="39"/>
      <c r="H109" s="39"/>
      <c r="I109" s="39"/>
    </row>
    <row r="110" spans="1:9" ht="13.8" x14ac:dyDescent="0.3">
      <c r="A110" s="58" t="s">
        <v>586</v>
      </c>
      <c r="B110" s="10"/>
      <c r="C110" s="145"/>
      <c r="D110" s="39"/>
      <c r="E110" s="39"/>
      <c r="F110" s="39"/>
      <c r="G110" s="39"/>
      <c r="H110" s="39"/>
      <c r="I110" s="39"/>
    </row>
    <row r="111" spans="1:9" ht="13.8" x14ac:dyDescent="0.3">
      <c r="A111" s="58" t="s">
        <v>587</v>
      </c>
      <c r="B111" s="10"/>
      <c r="C111" s="145"/>
      <c r="D111" s="39"/>
      <c r="E111" s="39"/>
      <c r="F111" s="39"/>
      <c r="G111" s="39"/>
      <c r="H111" s="39"/>
      <c r="I111" s="39"/>
    </row>
    <row r="112" spans="1:9" ht="13.8" x14ac:dyDescent="0.3">
      <c r="A112" s="58" t="s">
        <v>588</v>
      </c>
      <c r="B112" s="10"/>
      <c r="C112" s="145"/>
      <c r="D112" s="39"/>
      <c r="E112" s="39"/>
      <c r="F112" s="39"/>
      <c r="G112" s="39"/>
      <c r="H112" s="39"/>
      <c r="I112" s="39"/>
    </row>
    <row r="113" spans="1:9" ht="13.8" x14ac:dyDescent="0.3">
      <c r="A113" s="58" t="s">
        <v>589</v>
      </c>
      <c r="B113" s="10"/>
      <c r="C113" s="145"/>
      <c r="D113" s="39"/>
      <c r="E113" s="39"/>
      <c r="F113" s="39"/>
      <c r="G113" s="39"/>
      <c r="H113" s="39"/>
      <c r="I113" s="39"/>
    </row>
    <row r="114" spans="1:9" ht="13.8" x14ac:dyDescent="0.3">
      <c r="A114" s="58" t="s">
        <v>590</v>
      </c>
      <c r="B114" s="10"/>
      <c r="C114" s="145"/>
      <c r="D114" s="39"/>
      <c r="E114" s="39"/>
      <c r="F114" s="39"/>
      <c r="G114" s="39"/>
      <c r="H114" s="39"/>
      <c r="I114" s="39"/>
    </row>
    <row r="115" spans="1:9" ht="13.8" x14ac:dyDescent="0.3">
      <c r="A115" s="58" t="s">
        <v>591</v>
      </c>
      <c r="B115" s="10"/>
      <c r="C115" s="145"/>
      <c r="D115" s="39"/>
      <c r="E115" s="39"/>
      <c r="F115" s="39"/>
      <c r="G115" s="39"/>
      <c r="H115" s="39"/>
      <c r="I115" s="39"/>
    </row>
    <row r="116" spans="1:9" ht="13.8" x14ac:dyDescent="0.3">
      <c r="A116" s="58" t="s">
        <v>592</v>
      </c>
      <c r="B116" s="10"/>
      <c r="C116" s="145"/>
      <c r="D116" s="39"/>
      <c r="E116" s="39"/>
      <c r="F116" s="39"/>
      <c r="G116" s="39"/>
      <c r="H116" s="39"/>
      <c r="I116" s="39"/>
    </row>
    <row r="117" spans="1:9" ht="13.8" x14ac:dyDescent="0.3">
      <c r="A117" s="58" t="s">
        <v>593</v>
      </c>
      <c r="B117" s="10"/>
      <c r="C117" s="145"/>
      <c r="D117" s="39"/>
      <c r="E117" s="39"/>
      <c r="F117" s="39"/>
      <c r="G117" s="39"/>
      <c r="H117" s="39"/>
      <c r="I117" s="39"/>
    </row>
    <row r="118" spans="1:9" ht="13.8" x14ac:dyDescent="0.3">
      <c r="A118" s="58" t="s">
        <v>594</v>
      </c>
      <c r="B118" s="10"/>
      <c r="C118" s="145"/>
      <c r="D118" s="39"/>
      <c r="E118" s="39"/>
      <c r="F118" s="39"/>
      <c r="G118" s="39"/>
      <c r="H118" s="39"/>
      <c r="I118" s="39"/>
    </row>
    <row r="119" spans="1:9" ht="13.8" x14ac:dyDescent="0.3">
      <c r="A119" s="58" t="s">
        <v>595</v>
      </c>
      <c r="B119" s="10"/>
      <c r="C119" s="86"/>
      <c r="D119" s="25"/>
      <c r="E119" s="25"/>
      <c r="F119" s="25"/>
      <c r="G119" s="25"/>
      <c r="H119" s="25"/>
      <c r="I119" s="25"/>
    </row>
    <row r="120" spans="1:9" ht="13.8" x14ac:dyDescent="0.3">
      <c r="A120" s="58" t="s">
        <v>596</v>
      </c>
      <c r="B120" s="10"/>
      <c r="C120" s="86"/>
      <c r="D120" s="25"/>
      <c r="E120" s="25"/>
      <c r="F120" s="25"/>
      <c r="G120" s="25"/>
      <c r="H120" s="25"/>
      <c r="I120" s="25"/>
    </row>
    <row r="121" spans="1:9" ht="13.8" x14ac:dyDescent="0.3">
      <c r="A121" s="58" t="s">
        <v>597</v>
      </c>
      <c r="B121" s="10"/>
      <c r="C121" s="86"/>
      <c r="D121" s="25"/>
      <c r="E121" s="25"/>
      <c r="F121" s="25"/>
      <c r="G121" s="25"/>
      <c r="H121" s="25"/>
      <c r="I121" s="25"/>
    </row>
    <row r="122" spans="1:9" ht="13.8" x14ac:dyDescent="0.3">
      <c r="A122" s="58" t="s">
        <v>598</v>
      </c>
      <c r="B122" s="10"/>
      <c r="C122" s="86"/>
      <c r="D122" s="25"/>
      <c r="E122" s="25"/>
      <c r="F122" s="25"/>
      <c r="G122" s="25"/>
      <c r="H122" s="25"/>
      <c r="I122" s="25"/>
    </row>
    <row r="123" spans="1:9" ht="13.8" x14ac:dyDescent="0.3">
      <c r="A123" s="58" t="s">
        <v>599</v>
      </c>
      <c r="B123" s="10"/>
      <c r="C123" s="86"/>
      <c r="D123" s="25"/>
      <c r="E123" s="25"/>
      <c r="F123" s="25"/>
      <c r="G123" s="25"/>
      <c r="H123" s="25"/>
      <c r="I123" s="25"/>
    </row>
    <row r="124" spans="1:9" ht="13.8" x14ac:dyDescent="0.3">
      <c r="A124" s="58" t="s">
        <v>600</v>
      </c>
      <c r="B124" s="10"/>
      <c r="C124" s="86"/>
      <c r="D124" s="25"/>
      <c r="E124" s="25"/>
      <c r="F124" s="25"/>
      <c r="G124" s="25"/>
      <c r="H124" s="25"/>
      <c r="I124" s="25"/>
    </row>
    <row r="125" spans="1:9" ht="13.8" x14ac:dyDescent="0.3">
      <c r="A125" s="58" t="s">
        <v>601</v>
      </c>
      <c r="B125" s="10"/>
      <c r="C125" s="86"/>
      <c r="D125" s="25"/>
      <c r="E125" s="25"/>
      <c r="F125" s="25"/>
      <c r="G125" s="25"/>
      <c r="H125" s="25"/>
      <c r="I125" s="25"/>
    </row>
    <row r="126" spans="1:9" ht="13.8" x14ac:dyDescent="0.3">
      <c r="A126" s="58" t="s">
        <v>606</v>
      </c>
      <c r="B126" s="10"/>
      <c r="C126" s="145">
        <f>SUM(C96:C124)</f>
        <v>22528.785856894858</v>
      </c>
      <c r="D126" s="39"/>
      <c r="E126" s="39"/>
      <c r="F126" s="39"/>
      <c r="G126" s="39"/>
      <c r="H126" s="39"/>
      <c r="I126" s="39"/>
    </row>
    <row r="127" spans="1:9" ht="13.8" x14ac:dyDescent="0.3">
      <c r="A127" s="58" t="s">
        <v>607</v>
      </c>
      <c r="B127" s="10" t="s">
        <v>712</v>
      </c>
      <c r="C127" s="145">
        <f>C126+0.01*Mission!C84+Baseline!$C$4</f>
        <v>22952.212968648681</v>
      </c>
      <c r="D127" s="39"/>
      <c r="E127" s="39"/>
      <c r="F127" s="39"/>
      <c r="G127" s="39"/>
      <c r="H127" s="39"/>
      <c r="I127" s="39"/>
    </row>
    <row r="128" spans="1:9" ht="14.4" thickBot="1" x14ac:dyDescent="0.35">
      <c r="A128" s="121"/>
      <c r="B128" s="25"/>
      <c r="C128" s="151"/>
      <c r="D128" s="25"/>
      <c r="E128" s="25"/>
      <c r="F128" s="25"/>
      <c r="G128" s="25"/>
      <c r="H128" s="25"/>
      <c r="I128" s="25"/>
    </row>
    <row r="129" spans="1:9" ht="14.4" thickBot="1" x14ac:dyDescent="0.35">
      <c r="A129" s="41" t="s">
        <v>686</v>
      </c>
      <c r="B129" s="42" t="s">
        <v>372</v>
      </c>
      <c r="C129" s="43">
        <f>TOR.OEW-Mission!C85</f>
        <v>3537.7824218535934</v>
      </c>
      <c r="D129" s="4"/>
      <c r="E129" s="4"/>
      <c r="F129" s="4"/>
      <c r="G129" s="4"/>
      <c r="H129" s="4"/>
      <c r="I129" s="4"/>
    </row>
    <row r="130" spans="1:9" ht="14.4" thickBot="1" x14ac:dyDescent="0.35">
      <c r="A130" s="4"/>
      <c r="B130" s="4"/>
      <c r="C130" s="4"/>
      <c r="D130" s="4"/>
      <c r="E130" s="4"/>
      <c r="F130" s="4"/>
      <c r="G130" s="4"/>
      <c r="H130" s="4"/>
      <c r="I130" s="4"/>
    </row>
    <row r="131" spans="1:9" ht="13.8" x14ac:dyDescent="0.3">
      <c r="A131" s="55" t="s">
        <v>609</v>
      </c>
      <c r="B131" s="92"/>
      <c r="C131" s="88">
        <f>C126/C39</f>
        <v>0.4737887899680005</v>
      </c>
      <c r="D131" s="20"/>
      <c r="E131" s="20"/>
      <c r="F131" s="20"/>
      <c r="G131" s="20"/>
      <c r="H131" s="20"/>
      <c r="I131" s="20"/>
    </row>
    <row r="132" spans="1:9" ht="13.8" x14ac:dyDescent="0.3">
      <c r="A132" s="58" t="s">
        <v>610</v>
      </c>
      <c r="B132" s="10"/>
      <c r="C132" s="89">
        <f>Baseline!$I$6/C39</f>
        <v>3.9957710400256578E-2</v>
      </c>
      <c r="D132" s="20"/>
      <c r="E132" s="20"/>
      <c r="F132" s="20"/>
      <c r="G132" s="20"/>
      <c r="H132" s="20"/>
      <c r="I132" s="20"/>
    </row>
    <row r="133" spans="1:9" ht="13.8" x14ac:dyDescent="0.3">
      <c r="A133" s="58" t="s">
        <v>611</v>
      </c>
      <c r="B133" s="10"/>
      <c r="C133" s="89">
        <f>C131+C132</f>
        <v>0.51374650036825709</v>
      </c>
      <c r="D133" s="20"/>
      <c r="E133" s="20"/>
      <c r="F133" s="20"/>
      <c r="G133" s="20"/>
      <c r="H133" s="20"/>
      <c r="I133" s="20"/>
    </row>
    <row r="134" spans="1:9" ht="13.8" x14ac:dyDescent="0.3">
      <c r="A134" s="58" t="s">
        <v>612</v>
      </c>
      <c r="B134" s="10"/>
      <c r="C134" s="89">
        <f>1-C131-C132</f>
        <v>0.48625349963174297</v>
      </c>
      <c r="D134" s="20"/>
      <c r="E134" s="20"/>
      <c r="F134" s="20"/>
      <c r="G134" s="20"/>
      <c r="H134" s="20"/>
      <c r="I134" s="20"/>
    </row>
    <row r="135" spans="1:9" ht="14.4" thickBot="1" x14ac:dyDescent="0.35">
      <c r="A135" s="61" t="s">
        <v>613</v>
      </c>
      <c r="B135" s="79"/>
      <c r="C135" s="85">
        <f>1-Mission!C84/C39</f>
        <v>0.63527629963093413</v>
      </c>
      <c r="D135" s="20"/>
      <c r="E135" s="20"/>
      <c r="F135" s="20"/>
      <c r="G135" s="20"/>
      <c r="H135" s="20"/>
      <c r="I135" s="20"/>
    </row>
    <row r="136" spans="1:9" ht="13.8" x14ac:dyDescent="0.3">
      <c r="A136" s="4"/>
      <c r="B136" s="4"/>
      <c r="C136" s="4"/>
      <c r="D136" s="4"/>
      <c r="E136" s="4"/>
      <c r="F136" s="4"/>
      <c r="G136" s="4"/>
      <c r="H136" s="4"/>
      <c r="I136" s="4"/>
    </row>
    <row r="137" spans="1:9" ht="13.8" x14ac:dyDescent="0.3">
      <c r="A137" s="4"/>
      <c r="B137" s="4"/>
      <c r="C137" s="4"/>
      <c r="D137" s="4"/>
      <c r="E137" s="4"/>
      <c r="F137" s="4"/>
      <c r="G137" s="4"/>
      <c r="H137" s="4"/>
      <c r="I137" s="4"/>
    </row>
    <row r="138" spans="1:9" ht="13.8" x14ac:dyDescent="0.3">
      <c r="A138" s="2" t="s">
        <v>13</v>
      </c>
      <c r="B138" s="4"/>
      <c r="C138" s="4"/>
      <c r="D138" s="4"/>
      <c r="E138" s="4"/>
      <c r="F138" s="4"/>
      <c r="G138" s="4"/>
      <c r="H138" s="4"/>
      <c r="I138" s="4"/>
    </row>
    <row r="139" spans="1:9" ht="13.8" x14ac:dyDescent="0.3">
      <c r="A139" s="5" t="s">
        <v>614</v>
      </c>
      <c r="B139" s="4"/>
      <c r="C139" s="4"/>
      <c r="D139" s="4"/>
      <c r="E139" s="4"/>
      <c r="F139" s="4"/>
      <c r="G139" s="4"/>
      <c r="H139" s="4"/>
      <c r="I139" s="4"/>
    </row>
    <row r="140" spans="1:9" ht="14.4" thickBot="1" x14ac:dyDescent="0.35">
      <c r="A140" s="5" t="s">
        <v>615</v>
      </c>
      <c r="B140" s="4"/>
      <c r="C140" s="4"/>
      <c r="D140" s="4"/>
      <c r="E140" s="4"/>
      <c r="F140" s="4"/>
      <c r="G140" s="4"/>
      <c r="H140" s="4"/>
      <c r="I140" s="4"/>
    </row>
    <row r="141" spans="1:9" ht="13.8" x14ac:dyDescent="0.3">
      <c r="A141" s="55" t="s">
        <v>616</v>
      </c>
      <c r="B141" s="56" t="s">
        <v>617</v>
      </c>
      <c r="C141" s="155">
        <v>22</v>
      </c>
      <c r="D141" s="4"/>
      <c r="E141" s="4"/>
      <c r="F141" s="4"/>
      <c r="G141" s="4"/>
      <c r="H141" s="4"/>
      <c r="I141" s="4"/>
    </row>
    <row r="142" spans="1:9" ht="13.8" x14ac:dyDescent="0.3">
      <c r="A142" s="58" t="s">
        <v>112</v>
      </c>
      <c r="B142" s="10"/>
      <c r="C142" s="145"/>
      <c r="D142" s="4"/>
      <c r="E142" s="4"/>
      <c r="F142" s="4"/>
      <c r="G142" s="4"/>
      <c r="H142" s="4"/>
      <c r="I142" s="4"/>
    </row>
    <row r="143" spans="1:9" ht="13.8" x14ac:dyDescent="0.3">
      <c r="A143" s="58" t="s">
        <v>618</v>
      </c>
      <c r="B143" s="8" t="s">
        <v>619</v>
      </c>
      <c r="C143" s="145">
        <f>Baseline!C43*12</f>
        <v>126.74895691274773</v>
      </c>
      <c r="D143" s="4"/>
      <c r="E143" s="4"/>
      <c r="F143" s="4"/>
      <c r="G143" s="4"/>
      <c r="H143" s="4"/>
      <c r="I143" s="4"/>
    </row>
    <row r="144" spans="1:9" ht="13.8" x14ac:dyDescent="0.3">
      <c r="A144" s="58" t="s">
        <v>620</v>
      </c>
      <c r="B144" s="8" t="s">
        <v>621</v>
      </c>
      <c r="C144" s="145">
        <f>C151-C141</f>
        <v>403</v>
      </c>
      <c r="D144" s="4"/>
      <c r="E144" s="4"/>
      <c r="F144" s="4"/>
      <c r="G144" s="4"/>
      <c r="H144" s="4"/>
      <c r="I144" s="4"/>
    </row>
    <row r="145" spans="1:9" ht="14.4" thickBot="1" x14ac:dyDescent="0.35">
      <c r="A145" s="61" t="s">
        <v>622</v>
      </c>
      <c r="B145" s="62" t="s">
        <v>623</v>
      </c>
      <c r="C145" s="152">
        <f>C144+C143</f>
        <v>529.74895691274776</v>
      </c>
      <c r="D145" s="4"/>
      <c r="E145" s="4"/>
      <c r="F145" s="4"/>
      <c r="G145" s="4"/>
      <c r="H145" s="4"/>
      <c r="I145" s="4"/>
    </row>
    <row r="146" spans="1:9" ht="13.8" x14ac:dyDescent="0.3">
      <c r="A146" s="4"/>
      <c r="B146" s="4"/>
      <c r="C146" s="35"/>
      <c r="D146" s="4"/>
      <c r="E146" s="4"/>
      <c r="F146" s="4"/>
      <c r="G146" s="4"/>
      <c r="H146" s="4"/>
      <c r="I146" s="4"/>
    </row>
    <row r="147" spans="1:9" ht="14.4" thickBot="1" x14ac:dyDescent="0.35">
      <c r="A147" s="4"/>
      <c r="B147" s="4"/>
      <c r="C147" s="4"/>
      <c r="D147" s="4"/>
      <c r="E147" s="4"/>
      <c r="F147" s="4"/>
      <c r="G147" s="4"/>
      <c r="H147" s="4"/>
      <c r="I147" s="4"/>
    </row>
    <row r="148" spans="1:9" ht="13.8" x14ac:dyDescent="0.3">
      <c r="A148" s="153"/>
      <c r="B148" s="98" t="s">
        <v>401</v>
      </c>
      <c r="C148" s="98" t="s">
        <v>624</v>
      </c>
      <c r="D148" s="98" t="s">
        <v>625</v>
      </c>
      <c r="E148" s="98" t="s">
        <v>626</v>
      </c>
      <c r="F148" s="98" t="s">
        <v>627</v>
      </c>
      <c r="G148" s="92"/>
      <c r="H148" s="56" t="s">
        <v>628</v>
      </c>
      <c r="I148" s="111" t="s">
        <v>629</v>
      </c>
    </row>
    <row r="149" spans="1:9" ht="13.8" x14ac:dyDescent="0.3">
      <c r="A149" s="95"/>
      <c r="B149" s="16" t="s">
        <v>630</v>
      </c>
      <c r="C149" s="16" t="s">
        <v>631</v>
      </c>
      <c r="D149" s="16" t="s">
        <v>632</v>
      </c>
      <c r="E149" s="16" t="s">
        <v>631</v>
      </c>
      <c r="F149" s="16" t="s">
        <v>632</v>
      </c>
      <c r="G149" s="10"/>
      <c r="H149" s="16" t="s">
        <v>631</v>
      </c>
      <c r="I149" s="86"/>
    </row>
    <row r="150" spans="1:9" ht="13.8" x14ac:dyDescent="0.3">
      <c r="A150" s="58" t="s">
        <v>633</v>
      </c>
      <c r="B150" s="18">
        <f>C63</f>
        <v>4541.2897668030555</v>
      </c>
      <c r="C150" s="18">
        <v>330</v>
      </c>
      <c r="D150" s="18">
        <f t="shared" ref="D150:D162" si="0">B150*C150</f>
        <v>1498625.6230450084</v>
      </c>
      <c r="E150" s="10"/>
      <c r="F150" s="10"/>
      <c r="G150" s="10"/>
      <c r="H150" s="18">
        <f t="shared" ref="H150:H162" si="1">C150-$C$144</f>
        <v>-73</v>
      </c>
      <c r="I150" s="86"/>
    </row>
    <row r="151" spans="1:9" ht="13.8" x14ac:dyDescent="0.3">
      <c r="A151" s="58" t="s">
        <v>634</v>
      </c>
      <c r="B151" s="18">
        <f>C60</f>
        <v>7130.9960575285932</v>
      </c>
      <c r="C151" s="18">
        <v>425</v>
      </c>
      <c r="D151" s="18">
        <f t="shared" si="0"/>
        <v>3030673.3244496519</v>
      </c>
      <c r="E151" s="10"/>
      <c r="F151" s="10"/>
      <c r="G151" s="10"/>
      <c r="H151" s="18">
        <f t="shared" si="1"/>
        <v>22</v>
      </c>
      <c r="I151" s="86"/>
    </row>
    <row r="152" spans="1:9" ht="13.8" x14ac:dyDescent="0.3">
      <c r="A152" s="58" t="s">
        <v>635</v>
      </c>
      <c r="B152" s="18">
        <f>C61+C62</f>
        <v>3779.0617047148471</v>
      </c>
      <c r="C152" s="18">
        <v>770</v>
      </c>
      <c r="D152" s="18">
        <f t="shared" si="0"/>
        <v>2909877.5126304324</v>
      </c>
      <c r="E152" s="10"/>
      <c r="F152" s="10"/>
      <c r="G152" s="10"/>
      <c r="H152" s="18">
        <f t="shared" si="1"/>
        <v>367</v>
      </c>
      <c r="I152" s="86"/>
    </row>
    <row r="153" spans="1:9" ht="13.8" x14ac:dyDescent="0.3">
      <c r="A153" s="58" t="s">
        <v>636</v>
      </c>
      <c r="B153" s="18">
        <f>C67</f>
        <v>4046.8316637716093</v>
      </c>
      <c r="C153" s="18">
        <v>495</v>
      </c>
      <c r="D153" s="18">
        <f t="shared" si="0"/>
        <v>2003181.6735669465</v>
      </c>
      <c r="E153" s="10"/>
      <c r="F153" s="10"/>
      <c r="G153" s="10"/>
      <c r="H153" s="18">
        <f t="shared" si="1"/>
        <v>92</v>
      </c>
      <c r="I153" s="86"/>
    </row>
    <row r="154" spans="1:9" ht="13.8" x14ac:dyDescent="0.3">
      <c r="A154" s="58" t="s">
        <v>637</v>
      </c>
      <c r="B154" s="18">
        <f>C65</f>
        <v>1578.7156746637925</v>
      </c>
      <c r="C154" s="18">
        <v>352</v>
      </c>
      <c r="D154" s="18">
        <f t="shared" si="0"/>
        <v>555707.91748165491</v>
      </c>
      <c r="E154" s="10"/>
      <c r="F154" s="10"/>
      <c r="G154" s="10"/>
      <c r="H154" s="18">
        <f t="shared" si="1"/>
        <v>-51</v>
      </c>
      <c r="I154" s="86"/>
    </row>
    <row r="155" spans="1:9" ht="13.8" x14ac:dyDescent="0.3">
      <c r="A155" s="58" t="s">
        <v>638</v>
      </c>
      <c r="B155" s="18">
        <f>C72</f>
        <v>7132.5408073974613</v>
      </c>
      <c r="C155" s="18">
        <v>330</v>
      </c>
      <c r="D155" s="18">
        <f t="shared" si="0"/>
        <v>2353738.4664411624</v>
      </c>
      <c r="E155" s="10"/>
      <c r="F155" s="10"/>
      <c r="G155" s="10"/>
      <c r="H155" s="18">
        <f t="shared" si="1"/>
        <v>-73</v>
      </c>
      <c r="I155" s="86"/>
    </row>
    <row r="156" spans="1:9" ht="13.8" x14ac:dyDescent="0.3">
      <c r="A156" s="58" t="s">
        <v>639</v>
      </c>
      <c r="B156" s="18">
        <f>0.01*Mission!C84</f>
        <v>173.42711175382448</v>
      </c>
      <c r="C156" s="18">
        <v>350</v>
      </c>
      <c r="D156" s="18">
        <f t="shared" si="0"/>
        <v>60699.489113838565</v>
      </c>
      <c r="E156" s="10"/>
      <c r="F156" s="10"/>
      <c r="G156" s="10"/>
      <c r="H156" s="18">
        <f t="shared" si="1"/>
        <v>-53</v>
      </c>
      <c r="I156" s="86"/>
    </row>
    <row r="157" spans="1:9" ht="13.8" x14ac:dyDescent="0.3">
      <c r="A157" s="58" t="s">
        <v>640</v>
      </c>
      <c r="B157" s="18">
        <f>Baseline!$C$4</f>
        <v>250</v>
      </c>
      <c r="C157" s="18">
        <v>110</v>
      </c>
      <c r="D157" s="18">
        <f t="shared" si="0"/>
        <v>27500</v>
      </c>
      <c r="E157" s="10"/>
      <c r="F157" s="10"/>
      <c r="G157" s="10"/>
      <c r="H157" s="18">
        <f t="shared" si="1"/>
        <v>-293</v>
      </c>
      <c r="I157" s="86"/>
    </row>
    <row r="158" spans="1:9" ht="13.8" x14ac:dyDescent="0.3">
      <c r="A158" s="58" t="s">
        <v>641</v>
      </c>
      <c r="B158" s="18">
        <f>Mission!C84</f>
        <v>17342.711175382447</v>
      </c>
      <c r="C158" s="18">
        <v>410</v>
      </c>
      <c r="D158" s="18">
        <f t="shared" si="0"/>
        <v>7110511.581906803</v>
      </c>
      <c r="E158" s="10"/>
      <c r="F158" s="10"/>
      <c r="G158" s="10"/>
      <c r="H158" s="18">
        <f t="shared" si="1"/>
        <v>7</v>
      </c>
      <c r="I158" s="86"/>
    </row>
    <row r="159" spans="1:9" ht="13.8" x14ac:dyDescent="0.3">
      <c r="A159" s="58" t="s">
        <v>642</v>
      </c>
      <c r="B159" s="18">
        <f>Baseline!$C$6</f>
        <v>1900</v>
      </c>
      <c r="C159" s="18">
        <v>308</v>
      </c>
      <c r="D159" s="18">
        <f t="shared" si="0"/>
        <v>585200</v>
      </c>
      <c r="E159" s="10"/>
      <c r="F159" s="10"/>
      <c r="G159" s="10"/>
      <c r="H159" s="18">
        <f t="shared" si="1"/>
        <v>-95</v>
      </c>
      <c r="I159" s="86"/>
    </row>
    <row r="160" spans="1:9" ht="13.8" x14ac:dyDescent="0.3">
      <c r="A160" s="58" t="s">
        <v>643</v>
      </c>
      <c r="B160" s="18"/>
      <c r="C160" s="18"/>
      <c r="D160" s="18">
        <f t="shared" si="0"/>
        <v>0</v>
      </c>
      <c r="E160" s="10"/>
      <c r="F160" s="10"/>
      <c r="G160" s="10"/>
      <c r="H160" s="18">
        <f t="shared" si="1"/>
        <v>-403</v>
      </c>
      <c r="I160" s="86"/>
    </row>
    <row r="161" spans="1:9" ht="13.8" x14ac:dyDescent="0.3">
      <c r="A161" s="58" t="s">
        <v>644</v>
      </c>
      <c r="B161" s="18"/>
      <c r="C161" s="18"/>
      <c r="D161" s="18">
        <f t="shared" si="0"/>
        <v>0</v>
      </c>
      <c r="E161" s="10"/>
      <c r="F161" s="10"/>
      <c r="G161" s="10"/>
      <c r="H161" s="18">
        <f t="shared" si="1"/>
        <v>-403</v>
      </c>
      <c r="I161" s="86"/>
    </row>
    <row r="162" spans="1:9" ht="13.8" x14ac:dyDescent="0.3">
      <c r="A162" s="58" t="s">
        <v>645</v>
      </c>
      <c r="B162" s="18"/>
      <c r="C162" s="18"/>
      <c r="D162" s="18">
        <f t="shared" si="0"/>
        <v>0</v>
      </c>
      <c r="E162" s="10"/>
      <c r="F162" s="10"/>
      <c r="G162" s="10"/>
      <c r="H162" s="18">
        <f t="shared" si="1"/>
        <v>-403</v>
      </c>
      <c r="I162" s="86"/>
    </row>
    <row r="163" spans="1:9" ht="13.8" x14ac:dyDescent="0.3">
      <c r="A163" s="95"/>
      <c r="B163" s="18"/>
      <c r="C163" s="18"/>
      <c r="D163" s="18"/>
      <c r="E163" s="10"/>
      <c r="F163" s="10"/>
      <c r="G163" s="10"/>
      <c r="H163" s="18"/>
      <c r="I163" s="86"/>
    </row>
    <row r="164" spans="1:9" ht="13.8" x14ac:dyDescent="0.3">
      <c r="A164" s="58" t="s">
        <v>646</v>
      </c>
      <c r="B164" s="18">
        <f>SUM(B150:B155)</f>
        <v>28209.435674879358</v>
      </c>
      <c r="C164" s="18">
        <f>D164/B164</f>
        <v>437.86074489303587</v>
      </c>
      <c r="D164" s="18">
        <f>SUM(D150:D155)</f>
        <v>12351804.517614856</v>
      </c>
      <c r="E164" s="10"/>
      <c r="F164" s="10"/>
      <c r="G164" s="10"/>
      <c r="H164" s="18">
        <f t="shared" ref="H164:H169" si="2">C164-$C$144</f>
        <v>34.860744893035871</v>
      </c>
      <c r="I164" s="84">
        <f t="shared" ref="I164:I169" si="3">H164/$C$143</f>
        <v>0.27503772608585281</v>
      </c>
    </row>
    <row r="165" spans="1:9" ht="13.8" x14ac:dyDescent="0.3">
      <c r="A165" s="58" t="s">
        <v>647</v>
      </c>
      <c r="B165" s="18">
        <f>$B$164+$B$156+$B$157</f>
        <v>28632.862786633181</v>
      </c>
      <c r="C165" s="18">
        <f>$D$165/$B$165</f>
        <v>434.46595261638049</v>
      </c>
      <c r="D165" s="18">
        <f>$D$164+$D$156+$D$157</f>
        <v>12440004.006728696</v>
      </c>
      <c r="E165" s="10"/>
      <c r="F165" s="10"/>
      <c r="G165" s="10"/>
      <c r="H165" s="18">
        <f t="shared" si="2"/>
        <v>31.465952616380491</v>
      </c>
      <c r="I165" s="84">
        <f t="shared" si="3"/>
        <v>0.24825413465170548</v>
      </c>
    </row>
    <row r="166" spans="1:9" ht="13.8" x14ac:dyDescent="0.3">
      <c r="A166" s="58" t="s">
        <v>648</v>
      </c>
      <c r="B166" s="18">
        <f>B165+SUM(B159:B162)</f>
        <v>30532.862786633181</v>
      </c>
      <c r="C166" s="18">
        <f>D166/B166</f>
        <v>426.5962251148926</v>
      </c>
      <c r="D166" s="18">
        <f>D165+SUM(D159:D162)</f>
        <v>13025204.006728696</v>
      </c>
      <c r="E166" s="10"/>
      <c r="F166" s="10"/>
      <c r="G166" s="10"/>
      <c r="H166" s="18">
        <f t="shared" si="2"/>
        <v>23.596225114892604</v>
      </c>
      <c r="I166" s="84">
        <f t="shared" si="3"/>
        <v>0.18616504379705409</v>
      </c>
    </row>
    <row r="167" spans="1:9" ht="13.8" x14ac:dyDescent="0.3">
      <c r="A167" s="58" t="s">
        <v>649</v>
      </c>
      <c r="B167" s="18">
        <f>B166+B158</f>
        <v>47875.573962015624</v>
      </c>
      <c r="C167" s="18">
        <f>D167/B167</f>
        <v>420.58431726815701</v>
      </c>
      <c r="D167" s="18">
        <f>D166+D158</f>
        <v>20135715.588635497</v>
      </c>
      <c r="E167" s="10"/>
      <c r="F167" s="10"/>
      <c r="G167" s="10"/>
      <c r="H167" s="18">
        <f t="shared" si="2"/>
        <v>17.584317268157008</v>
      </c>
      <c r="I167" s="84">
        <f t="shared" si="3"/>
        <v>0.13873342784400045</v>
      </c>
    </row>
    <row r="168" spans="1:9" ht="13.8" x14ac:dyDescent="0.3">
      <c r="A168" s="58" t="s">
        <v>650</v>
      </c>
      <c r="B168" s="18">
        <f>B167-SUM(B159:B162)</f>
        <v>45975.573962015624</v>
      </c>
      <c r="C168" s="18">
        <f>D168/B168</f>
        <v>425.23700965186123</v>
      </c>
      <c r="D168" s="18">
        <f>D167-SUM(D159:D162)</f>
        <v>19550515.588635497</v>
      </c>
      <c r="E168" s="10"/>
      <c r="F168" s="10"/>
      <c r="G168" s="10"/>
      <c r="H168" s="18">
        <f t="shared" si="2"/>
        <v>22.237009651861229</v>
      </c>
      <c r="I168" s="84">
        <f t="shared" si="3"/>
        <v>0.17544136214997719</v>
      </c>
    </row>
    <row r="169" spans="1:9" ht="14.4" thickBot="1" x14ac:dyDescent="0.35">
      <c r="A169" s="61" t="s">
        <v>647</v>
      </c>
      <c r="B169" s="154">
        <f>$B$164+$B$156+$B$157</f>
        <v>28632.862786633181</v>
      </c>
      <c r="C169" s="154">
        <f>$D$165/$B$165</f>
        <v>434.46595261638049</v>
      </c>
      <c r="D169" s="154">
        <f>$D$164+$D$156+$D$157</f>
        <v>12440004.006728696</v>
      </c>
      <c r="E169" s="79"/>
      <c r="F169" s="79"/>
      <c r="G169" s="79"/>
      <c r="H169" s="154">
        <f t="shared" si="2"/>
        <v>31.465952616380491</v>
      </c>
      <c r="I169" s="127">
        <f t="shared" si="3"/>
        <v>0.24825413465170548</v>
      </c>
    </row>
    <row r="170" spans="1:9" ht="13.8" x14ac:dyDescent="0.3">
      <c r="A170" s="4"/>
      <c r="B170" s="35"/>
      <c r="C170" s="35"/>
      <c r="D170" s="35"/>
      <c r="E170" s="4"/>
      <c r="F170" s="4"/>
      <c r="G170" s="4"/>
      <c r="H170" s="4"/>
      <c r="I170" s="4"/>
    </row>
    <row r="171" spans="1:9" ht="13.8" x14ac:dyDescent="0.3">
      <c r="A171" s="4"/>
      <c r="B171" s="35"/>
      <c r="C171" s="35"/>
      <c r="D171" s="35"/>
      <c r="E171" s="4"/>
      <c r="F171" s="4"/>
      <c r="G171" s="4"/>
      <c r="H171" s="4"/>
      <c r="I171" s="4"/>
    </row>
    <row r="172" spans="1:9" ht="13.8" x14ac:dyDescent="0.3">
      <c r="A172" s="4"/>
      <c r="B172" s="4"/>
      <c r="C172" s="4"/>
      <c r="D172" s="4"/>
      <c r="E172" s="4"/>
      <c r="F172" s="4"/>
      <c r="G172" s="4"/>
      <c r="H172" s="4"/>
      <c r="I172" s="4"/>
    </row>
  </sheetData>
  <pageMargins left="0.7" right="0.7" top="0.75" bottom="0.75" header="0.3" footer="0.3"/>
  <drawing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workbookViewId="0">
      <selection activeCell="C25" sqref="C25"/>
    </sheetView>
  </sheetViews>
  <sheetFormatPr defaultRowHeight="12" x14ac:dyDescent="0.2"/>
  <cols>
    <col min="1" max="1" width="23.88671875" customWidth="1"/>
    <col min="2" max="2" width="10.44140625" customWidth="1"/>
  </cols>
  <sheetData>
    <row r="1" spans="1:7" ht="13.8" x14ac:dyDescent="0.3">
      <c r="A1" s="2" t="s">
        <v>651</v>
      </c>
      <c r="B1" s="4"/>
      <c r="C1" s="4"/>
      <c r="D1" s="4"/>
      <c r="E1" s="4"/>
      <c r="F1" s="4"/>
      <c r="G1" s="4"/>
    </row>
    <row r="2" spans="1:7" ht="13.8" x14ac:dyDescent="0.3">
      <c r="A2" s="4"/>
      <c r="B2" s="4"/>
      <c r="C2" s="4"/>
      <c r="D2" s="4"/>
      <c r="E2" s="4"/>
      <c r="F2" s="4"/>
      <c r="G2" s="4"/>
    </row>
    <row r="3" spans="1:7" ht="13.8" x14ac:dyDescent="0.3">
      <c r="A3" s="5" t="s">
        <v>652</v>
      </c>
      <c r="B3" s="4"/>
      <c r="C3" s="4"/>
      <c r="D3" s="4"/>
      <c r="E3" s="4"/>
      <c r="F3" s="4"/>
      <c r="G3" s="4"/>
    </row>
    <row r="4" spans="1:7" ht="14.4" thickBot="1" x14ac:dyDescent="0.35">
      <c r="A4" s="4"/>
      <c r="B4" s="4"/>
      <c r="C4" s="4"/>
      <c r="D4" s="4"/>
      <c r="E4" s="4"/>
      <c r="F4" s="4"/>
      <c r="G4" s="4"/>
    </row>
    <row r="5" spans="1:7" ht="13.8" x14ac:dyDescent="0.3">
      <c r="A5" s="55" t="s">
        <v>653</v>
      </c>
      <c r="B5" s="56" t="s">
        <v>97</v>
      </c>
      <c r="C5" s="88">
        <f>NNAC</f>
        <v>2</v>
      </c>
      <c r="D5" s="4"/>
      <c r="E5" s="4"/>
      <c r="F5" s="4"/>
      <c r="G5" s="4"/>
    </row>
    <row r="6" spans="1:7" ht="13.8" x14ac:dyDescent="0.3">
      <c r="A6" s="95"/>
      <c r="B6" s="10"/>
      <c r="C6" s="86"/>
      <c r="D6" s="4"/>
      <c r="E6" s="4"/>
      <c r="F6" s="4"/>
      <c r="G6" s="4"/>
    </row>
    <row r="7" spans="1:7" ht="13.8" x14ac:dyDescent="0.3">
      <c r="A7" s="58" t="s">
        <v>654</v>
      </c>
      <c r="B7" s="8" t="s">
        <v>655</v>
      </c>
      <c r="C7" s="65">
        <v>0.9</v>
      </c>
      <c r="D7" s="4"/>
      <c r="E7" s="4"/>
      <c r="F7" s="4"/>
      <c r="G7" s="4"/>
    </row>
    <row r="8" spans="1:7" ht="13.8" x14ac:dyDescent="0.3">
      <c r="A8" s="58" t="s">
        <v>656</v>
      </c>
      <c r="B8" s="8" t="s">
        <v>657</v>
      </c>
      <c r="C8" s="65">
        <v>0.75</v>
      </c>
      <c r="D8" s="4"/>
      <c r="E8" s="4"/>
      <c r="F8" s="4"/>
      <c r="G8" s="4"/>
    </row>
    <row r="9" spans="1:7" ht="13.8" x14ac:dyDescent="0.3">
      <c r="A9" s="58" t="s">
        <v>658</v>
      </c>
      <c r="B9" s="8" t="s">
        <v>659</v>
      </c>
      <c r="C9" s="65">
        <v>1</v>
      </c>
      <c r="D9" s="4"/>
      <c r="E9" s="4"/>
      <c r="F9" s="4"/>
      <c r="G9" s="4"/>
    </row>
    <row r="10" spans="1:7" ht="13.8" x14ac:dyDescent="0.3">
      <c r="A10" s="58" t="s">
        <v>660</v>
      </c>
      <c r="B10" s="8" t="s">
        <v>661</v>
      </c>
      <c r="C10" s="65">
        <v>0</v>
      </c>
      <c r="D10" s="4"/>
      <c r="E10" s="4"/>
      <c r="F10" s="4"/>
      <c r="G10" s="4"/>
    </row>
    <row r="11" spans="1:7" ht="13.8" x14ac:dyDescent="0.3">
      <c r="A11" s="58" t="s">
        <v>662</v>
      </c>
      <c r="B11" s="8" t="s">
        <v>663</v>
      </c>
      <c r="C11" s="65">
        <v>0.7</v>
      </c>
      <c r="D11" s="4"/>
      <c r="E11" s="4"/>
      <c r="F11" s="4"/>
      <c r="G11" s="4"/>
    </row>
    <row r="12" spans="1:7" ht="13.8" x14ac:dyDescent="0.3">
      <c r="A12" s="58" t="s">
        <v>664</v>
      </c>
      <c r="B12" s="8" t="s">
        <v>665</v>
      </c>
      <c r="C12" s="65">
        <v>0.747</v>
      </c>
      <c r="D12" s="4"/>
      <c r="E12" s="4"/>
      <c r="F12" s="4"/>
      <c r="G12" s="4"/>
    </row>
    <row r="13" spans="1:7" ht="13.8" x14ac:dyDescent="0.3">
      <c r="A13" s="58" t="s">
        <v>666</v>
      </c>
      <c r="B13" s="8" t="s">
        <v>667</v>
      </c>
      <c r="C13" s="65">
        <v>0.7</v>
      </c>
      <c r="D13" s="4"/>
      <c r="E13" s="4"/>
      <c r="F13" s="4"/>
      <c r="G13" s="4"/>
    </row>
    <row r="14" spans="1:7" ht="13.8" x14ac:dyDescent="0.3">
      <c r="A14" s="58" t="s">
        <v>668</v>
      </c>
      <c r="B14" s="8" t="s">
        <v>669</v>
      </c>
      <c r="C14" s="65">
        <v>1</v>
      </c>
      <c r="D14" s="4"/>
      <c r="E14" s="4"/>
      <c r="F14" s="4"/>
      <c r="G14" s="4"/>
    </row>
    <row r="15" spans="1:7" ht="13.8" x14ac:dyDescent="0.3">
      <c r="A15" s="58" t="s">
        <v>670</v>
      </c>
      <c r="B15" s="8" t="s">
        <v>671</v>
      </c>
      <c r="C15" s="65">
        <v>1</v>
      </c>
      <c r="D15" s="4"/>
      <c r="E15" s="4"/>
      <c r="F15" s="4"/>
      <c r="G15" s="4"/>
    </row>
    <row r="16" spans="1:7" ht="13.8" x14ac:dyDescent="0.3">
      <c r="A16" s="58" t="s">
        <v>672</v>
      </c>
      <c r="B16" s="8" t="s">
        <v>673</v>
      </c>
      <c r="C16" s="65">
        <v>1</v>
      </c>
      <c r="D16" s="4"/>
      <c r="E16" s="4"/>
      <c r="F16" s="4"/>
      <c r="G16" s="4"/>
    </row>
    <row r="17" spans="1:7" ht="13.8" x14ac:dyDescent="0.3">
      <c r="A17" s="58" t="s">
        <v>112</v>
      </c>
      <c r="B17" s="10"/>
      <c r="C17" s="86"/>
      <c r="D17" s="4"/>
      <c r="E17" s="4"/>
      <c r="F17" s="4"/>
      <c r="G17" s="4"/>
    </row>
    <row r="18" spans="1:7" ht="14.4" thickBot="1" x14ac:dyDescent="0.35">
      <c r="A18" s="61" t="s">
        <v>674</v>
      </c>
      <c r="B18" s="62" t="s">
        <v>675</v>
      </c>
      <c r="C18" s="158">
        <f>Baseline!C3*Baseline!C7/C5</f>
        <v>9510.0544098632818</v>
      </c>
      <c r="D18" s="4"/>
      <c r="E18" s="4"/>
      <c r="F18" s="4"/>
      <c r="G18" s="4"/>
    </row>
    <row r="19" spans="1:7" ht="13.8" x14ac:dyDescent="0.3">
      <c r="A19" s="4"/>
      <c r="B19" s="4"/>
      <c r="C19" s="4"/>
      <c r="D19" s="4"/>
      <c r="E19" s="4"/>
      <c r="F19" s="4"/>
      <c r="G19" s="4"/>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opLeftCell="A14" workbookViewId="0">
      <selection activeCell="A19" sqref="A19:B19"/>
    </sheetView>
  </sheetViews>
  <sheetFormatPr defaultRowHeight="12" x14ac:dyDescent="0.2"/>
  <cols>
    <col min="1" max="1" width="20.88671875" customWidth="1"/>
  </cols>
  <sheetData>
    <row r="1" spans="1:11" ht="13.8" x14ac:dyDescent="0.3">
      <c r="A1" s="2" t="s">
        <v>489</v>
      </c>
      <c r="B1" s="4"/>
      <c r="C1" s="4"/>
      <c r="D1" s="4"/>
      <c r="E1" s="4"/>
      <c r="F1" s="4"/>
      <c r="G1" s="4"/>
      <c r="H1" s="4"/>
      <c r="I1" s="4"/>
      <c r="J1" s="4"/>
      <c r="K1" s="4"/>
    </row>
    <row r="2" spans="1:11" ht="14.4" thickBot="1" x14ac:dyDescent="0.35">
      <c r="A2" s="2"/>
      <c r="B2" s="4"/>
      <c r="C2" s="4"/>
      <c r="D2" s="4"/>
      <c r="E2" s="4"/>
      <c r="F2" s="4"/>
      <c r="G2" s="4"/>
      <c r="H2" s="4"/>
      <c r="I2" s="4"/>
      <c r="J2" s="4"/>
      <c r="K2" s="4"/>
    </row>
    <row r="3" spans="1:11" ht="13.8" x14ac:dyDescent="0.3">
      <c r="A3" s="180" t="s">
        <v>490</v>
      </c>
      <c r="B3" s="181"/>
      <c r="C3" s="182"/>
      <c r="D3" s="56" t="s">
        <v>491</v>
      </c>
      <c r="E3" s="64">
        <v>1.4</v>
      </c>
      <c r="F3" s="4"/>
      <c r="G3" s="4"/>
      <c r="H3" s="4"/>
      <c r="I3" s="4"/>
      <c r="J3" s="4"/>
      <c r="K3" s="4"/>
    </row>
    <row r="4" spans="1:11" ht="13.8" x14ac:dyDescent="0.3">
      <c r="A4" s="176" t="s">
        <v>492</v>
      </c>
      <c r="B4" s="174"/>
      <c r="C4" s="175"/>
      <c r="D4" s="8" t="s">
        <v>492</v>
      </c>
      <c r="E4" s="65">
        <v>32.173999999999999</v>
      </c>
      <c r="F4" s="4"/>
      <c r="G4" s="4"/>
      <c r="H4" s="4"/>
      <c r="I4" s="4"/>
      <c r="J4" s="4"/>
      <c r="K4" s="4"/>
    </row>
    <row r="5" spans="1:11" ht="13.8" x14ac:dyDescent="0.3">
      <c r="A5" s="176" t="s">
        <v>493</v>
      </c>
      <c r="B5" s="174"/>
      <c r="C5" s="175"/>
      <c r="D5" s="8" t="s">
        <v>494</v>
      </c>
      <c r="E5" s="65">
        <v>53.35</v>
      </c>
      <c r="F5" s="4"/>
      <c r="G5" s="4"/>
      <c r="H5" s="4"/>
      <c r="I5" s="4"/>
      <c r="J5" s="4"/>
      <c r="K5" s="4"/>
    </row>
    <row r="6" spans="1:11" ht="13.8" x14ac:dyDescent="0.3">
      <c r="A6" s="176" t="s">
        <v>495</v>
      </c>
      <c r="B6" s="174"/>
      <c r="C6" s="175"/>
      <c r="D6" s="8" t="s">
        <v>496</v>
      </c>
      <c r="E6" s="65">
        <v>-3.5661600000000001E-3</v>
      </c>
      <c r="F6" s="4"/>
      <c r="G6" s="4"/>
      <c r="H6" s="4"/>
      <c r="I6" s="4"/>
      <c r="J6" s="4"/>
      <c r="K6" s="4"/>
    </row>
    <row r="7" spans="1:11" ht="13.8" x14ac:dyDescent="0.3">
      <c r="A7" s="176" t="s">
        <v>497</v>
      </c>
      <c r="B7" s="174"/>
      <c r="C7" s="175"/>
      <c r="D7" s="8" t="s">
        <v>498</v>
      </c>
      <c r="E7" s="65">
        <v>518.70000000000005</v>
      </c>
      <c r="F7" s="4"/>
      <c r="G7" s="4"/>
      <c r="H7" s="4"/>
      <c r="I7" s="4"/>
      <c r="J7" s="4"/>
      <c r="K7" s="4"/>
    </row>
    <row r="8" spans="1:11" ht="13.8" x14ac:dyDescent="0.3">
      <c r="A8" s="176" t="s">
        <v>499</v>
      </c>
      <c r="B8" s="174"/>
      <c r="C8" s="175"/>
      <c r="D8" s="8" t="s">
        <v>500</v>
      </c>
      <c r="E8" s="65">
        <v>2.3770000000000002E-3</v>
      </c>
      <c r="F8" s="4"/>
      <c r="G8" s="4"/>
      <c r="H8" s="4"/>
      <c r="I8" s="4"/>
      <c r="J8" s="4"/>
      <c r="K8" s="4"/>
    </row>
    <row r="9" spans="1:11" ht="13.8" x14ac:dyDescent="0.3">
      <c r="A9" s="176" t="s">
        <v>501</v>
      </c>
      <c r="B9" s="174"/>
      <c r="C9" s="175"/>
      <c r="D9" s="8" t="s">
        <v>502</v>
      </c>
      <c r="E9" s="65">
        <v>0</v>
      </c>
      <c r="F9" s="4"/>
      <c r="G9" s="4"/>
      <c r="H9" s="4"/>
      <c r="I9" s="4"/>
      <c r="J9" s="4"/>
      <c r="K9" s="4"/>
    </row>
    <row r="10" spans="1:11" ht="13.8" x14ac:dyDescent="0.3">
      <c r="A10" s="176" t="s">
        <v>503</v>
      </c>
      <c r="B10" s="174"/>
      <c r="C10" s="175"/>
      <c r="D10" s="8" t="s">
        <v>504</v>
      </c>
      <c r="E10" s="65">
        <f>2116.2/144</f>
        <v>14.695833333333333</v>
      </c>
      <c r="F10" s="4"/>
      <c r="G10" s="4"/>
      <c r="H10" s="4"/>
      <c r="I10" s="4"/>
      <c r="J10" s="4"/>
      <c r="K10" s="4"/>
    </row>
    <row r="11" spans="1:11" ht="14.4" thickBot="1" x14ac:dyDescent="0.35">
      <c r="A11" s="177" t="s">
        <v>505</v>
      </c>
      <c r="B11" s="178"/>
      <c r="C11" s="179"/>
      <c r="D11" s="62" t="s">
        <v>506</v>
      </c>
      <c r="E11" s="73">
        <f>E8*(E7/(E7+$E$9))</f>
        <v>2.3770000000000002E-3</v>
      </c>
      <c r="F11" s="4"/>
      <c r="G11" s="4"/>
      <c r="H11" s="4"/>
      <c r="I11" s="4"/>
      <c r="J11" s="4"/>
      <c r="K11" s="4"/>
    </row>
    <row r="12" spans="1:11" ht="13.8" x14ac:dyDescent="0.3">
      <c r="A12" s="4"/>
      <c r="B12" s="4"/>
      <c r="C12" s="4"/>
      <c r="D12" s="4"/>
      <c r="E12" s="4"/>
      <c r="F12" s="4"/>
      <c r="G12" s="4"/>
      <c r="H12" s="4"/>
      <c r="I12" s="4"/>
      <c r="J12" s="4"/>
      <c r="K12" s="4"/>
    </row>
    <row r="13" spans="1:11" ht="13.8" x14ac:dyDescent="0.3">
      <c r="A13" s="4"/>
      <c r="B13" s="4"/>
      <c r="C13" s="4"/>
      <c r="D13" s="4"/>
      <c r="E13" s="4"/>
      <c r="F13" s="4"/>
      <c r="G13" s="4"/>
      <c r="H13" s="4"/>
      <c r="I13" s="4"/>
      <c r="J13" s="4"/>
      <c r="K13" s="4"/>
    </row>
    <row r="14" spans="1:11" ht="14.4" thickBot="1" x14ac:dyDescent="0.35">
      <c r="A14" s="4"/>
      <c r="B14" s="4"/>
      <c r="C14" s="4"/>
      <c r="D14" s="4"/>
      <c r="E14" s="4"/>
      <c r="F14" s="4"/>
      <c r="G14" s="4"/>
      <c r="H14" s="4"/>
      <c r="I14" s="4"/>
      <c r="J14" s="4"/>
      <c r="K14" s="4"/>
    </row>
    <row r="15" spans="1:11" ht="13.8" x14ac:dyDescent="0.3">
      <c r="A15" s="4"/>
      <c r="B15" s="4"/>
      <c r="C15" s="134" t="s">
        <v>406</v>
      </c>
      <c r="D15" s="119"/>
      <c r="E15" s="119"/>
      <c r="F15" s="119"/>
      <c r="G15" s="119"/>
      <c r="H15" s="120" t="s">
        <v>507</v>
      </c>
      <c r="I15" s="135" t="s">
        <v>508</v>
      </c>
      <c r="J15" s="4"/>
      <c r="K15" s="4"/>
    </row>
    <row r="16" spans="1:11" ht="13.8" x14ac:dyDescent="0.3">
      <c r="A16" s="4"/>
      <c r="B16" s="4"/>
      <c r="C16" s="136" t="s">
        <v>404</v>
      </c>
      <c r="D16" s="26" t="s">
        <v>509</v>
      </c>
      <c r="E16" s="26" t="s">
        <v>510</v>
      </c>
      <c r="F16" s="26" t="s">
        <v>406</v>
      </c>
      <c r="G16" s="32" t="s">
        <v>511</v>
      </c>
      <c r="H16" s="32" t="s">
        <v>511</v>
      </c>
      <c r="I16" s="137" t="s">
        <v>512</v>
      </c>
      <c r="J16" s="4"/>
      <c r="K16" s="4"/>
    </row>
    <row r="17" spans="1:11" ht="14.4" thickBot="1" x14ac:dyDescent="0.35">
      <c r="A17" s="4"/>
      <c r="B17" s="4"/>
      <c r="C17" s="138" t="s">
        <v>408</v>
      </c>
      <c r="D17" s="139" t="s">
        <v>513</v>
      </c>
      <c r="E17" s="139" t="s">
        <v>409</v>
      </c>
      <c r="F17" s="139" t="s">
        <v>514</v>
      </c>
      <c r="G17" s="139" t="s">
        <v>515</v>
      </c>
      <c r="H17" s="140" t="s">
        <v>516</v>
      </c>
      <c r="I17" s="141" t="s">
        <v>517</v>
      </c>
      <c r="J17" s="4"/>
      <c r="K17" s="4"/>
    </row>
    <row r="18" spans="1:11" ht="13.8" x14ac:dyDescent="0.3">
      <c r="A18" s="180" t="str">
        <f>Mission!A13</f>
        <v>Phase 1 - Takeoff:</v>
      </c>
      <c r="B18" s="182"/>
      <c r="C18" s="105">
        <f>Mission!$C$19</f>
        <v>0</v>
      </c>
      <c r="D18" s="129">
        <f>-69.7+$E$9-IF(+C18&lt;36089,(36089-C18)*$E$6,0)</f>
        <v>58.999148239999997</v>
      </c>
      <c r="E18" s="129">
        <f>SQRT($E$3*$E$4*$E$5*(459.7+D18))</f>
        <v>1116.4557785590682</v>
      </c>
      <c r="F18" s="130">
        <f>IF(C18&lt;36089,$E$10*(1+$E$6*C18/519)^(-1/($E$6*$E$5)),$E$10*0.2234*EXP(-(C18-36089)/20806.7))</f>
        <v>14.695833333333333</v>
      </c>
      <c r="G18" s="105">
        <f>$E$11*(F18/$E$10)*((518.7+$E$9)/(459.7+D18))</f>
        <v>2.3770039032906206E-3</v>
      </c>
      <c r="H18" s="105">
        <f t="shared" ref="H18:H27" si="0">G18/0.002377</f>
        <v>1.0000016421079598</v>
      </c>
      <c r="I18" s="131">
        <f>0.00000073025*(D18+460)^1.5/(D18+460+198.72)/32.2</f>
        <v>3.7360366551585595E-7</v>
      </c>
      <c r="J18" s="4"/>
      <c r="K18" s="4"/>
    </row>
    <row r="19" spans="1:11" ht="13.8" x14ac:dyDescent="0.3">
      <c r="A19" s="176" t="str">
        <f>Mission!A16</f>
        <v>Phase 2 - Climb &amp; Accel:</v>
      </c>
      <c r="B19" s="175"/>
      <c r="C19" s="8" t="s">
        <v>518</v>
      </c>
      <c r="D19" s="12"/>
      <c r="E19" s="33" t="s">
        <v>15</v>
      </c>
      <c r="F19" s="34" t="s">
        <v>15</v>
      </c>
      <c r="G19" s="11">
        <f>(G18+G20)/2</f>
        <v>1.8220590280754916E-3</v>
      </c>
      <c r="H19" s="11">
        <f t="shared" si="0"/>
        <v>0.76653724361610909</v>
      </c>
      <c r="I19" s="132"/>
      <c r="J19" s="4"/>
      <c r="K19" s="4"/>
    </row>
    <row r="20" spans="1:11" ht="13.8" x14ac:dyDescent="0.3">
      <c r="A20" s="176" t="str">
        <f>Mission!A22</f>
        <v>Phase 3 - Subsonic Cruise:</v>
      </c>
      <c r="B20" s="175"/>
      <c r="C20" s="11">
        <f>Mission!$C$21</f>
        <v>20000</v>
      </c>
      <c r="D20" s="12">
        <f>-69.7+$E$9-IF(+C20&lt;36089,(36089-C20)*$E$6,0)</f>
        <v>-12.324051760000003</v>
      </c>
      <c r="E20" s="12">
        <f>SQRT($E$3*$E$4*$E$5*(459.7+D20))</f>
        <v>1036.8598897803613</v>
      </c>
      <c r="F20" s="13">
        <f>IF(C20&lt;36089,$E$10*(1+$E$6*C20/519)^(-1/($E$6*$E$5)),$E$10*0.2234*EXP(-(C20-36089)/20806.7))</f>
        <v>6.7567392894733436</v>
      </c>
      <c r="G20" s="11">
        <f>$E$11*(F20/$E$10)*((518.7+$E$9)/(459.7+D20))</f>
        <v>1.2671141528603628E-3</v>
      </c>
      <c r="H20" s="11">
        <f t="shared" si="0"/>
        <v>0.53307284512425857</v>
      </c>
      <c r="I20" s="132">
        <f>0.00000073025*(D20+460)^1.5/(D20+460+198.72)/32.2</f>
        <v>3.3232476912264898E-7</v>
      </c>
      <c r="J20" s="4"/>
      <c r="K20" s="4"/>
    </row>
    <row r="21" spans="1:11" ht="13.8" x14ac:dyDescent="0.3">
      <c r="A21" s="176" t="str">
        <f>Mission!A25</f>
        <v>Phase 4 - Loiter (for ASW):</v>
      </c>
      <c r="B21" s="175"/>
      <c r="C21" s="11">
        <f>Mission!$C$27</f>
        <v>30000</v>
      </c>
      <c r="D21" s="12">
        <f>-69.7+$E$9-IF(+C21&lt;36089,(36089-C21)*$E$6,0)</f>
        <v>-47.985651760000003</v>
      </c>
      <c r="E21" s="12">
        <f>SQRT($E$3*$E$4*$E$5*(459.7+D21))</f>
        <v>994.67627588781215</v>
      </c>
      <c r="F21" s="13">
        <f>IF(C21&lt;36089,$E$10*(1+$E$6*C21/519)^(-1/($E$6*$E$5)),$E$10*0.2234*EXP(-(C21-36089)/20806.7))</f>
        <v>4.367643329792096</v>
      </c>
      <c r="G21" s="11">
        <f>$E$11*(F21/$E$10)*((518.7+$E$9)/(459.7+D21))</f>
        <v>8.9002534717614917E-4</v>
      </c>
      <c r="H21" s="11">
        <f t="shared" si="0"/>
        <v>0.37443220327141319</v>
      </c>
      <c r="I21" s="86"/>
      <c r="J21" s="7"/>
      <c r="K21" s="4"/>
    </row>
    <row r="22" spans="1:11" ht="13.8" x14ac:dyDescent="0.3">
      <c r="A22" s="58" t="str">
        <f>Mission!A30</f>
        <v>Phase 5 - Accel to Supercruise:</v>
      </c>
      <c r="B22" s="53"/>
      <c r="C22" s="8" t="s">
        <v>15</v>
      </c>
      <c r="D22" s="33" t="s">
        <v>15</v>
      </c>
      <c r="E22" s="33" t="s">
        <v>15</v>
      </c>
      <c r="F22" s="34" t="s">
        <v>15</v>
      </c>
      <c r="G22" s="8" t="s">
        <v>15</v>
      </c>
      <c r="H22" s="11" t="e">
        <f t="shared" si="0"/>
        <v>#VALUE!</v>
      </c>
      <c r="I22" s="86"/>
      <c r="J22" s="7"/>
      <c r="K22" s="4"/>
    </row>
    <row r="23" spans="1:11" ht="13.8" x14ac:dyDescent="0.3">
      <c r="A23" s="58" t="str">
        <f>Mission!A34</f>
        <v>Phase 6 - Supersonic Penetration:</v>
      </c>
      <c r="B23" s="53"/>
      <c r="C23" s="11">
        <f>Mission!$C$33</f>
        <v>32000</v>
      </c>
      <c r="D23" s="12">
        <f>-69.7+$E$9-IF(+C23&lt;36089,(36089-C23)*$E$6,0)</f>
        <v>-55.117971760000003</v>
      </c>
      <c r="E23" s="12">
        <f>SQRT($E$3*$E$4*$E$5*(459.7+D23))</f>
        <v>986.02301513189229</v>
      </c>
      <c r="F23" s="13">
        <f>IF(C23&lt;36089,$E$10*(1+$E$6*C23/519)^(-1/($E$6*$E$5)),$E$10*0.2234*EXP(-(C23-36089)/20806.7))</f>
        <v>3.9846090838559296</v>
      </c>
      <c r="G23" s="11">
        <f>$E$11*(F23/$E$10)*((518.7+$E$9)/(459.7+D23))</f>
        <v>8.262859063230644E-4</v>
      </c>
      <c r="H23" s="11">
        <f t="shared" si="0"/>
        <v>0.34761712508332532</v>
      </c>
      <c r="I23" s="86"/>
      <c r="J23" s="7"/>
      <c r="K23" s="4"/>
    </row>
    <row r="24" spans="1:11" ht="13.8" x14ac:dyDescent="0.3">
      <c r="A24" s="176" t="str">
        <f>Mission!A37</f>
        <v>Phase 7 - Combat (final):</v>
      </c>
      <c r="B24" s="175"/>
      <c r="C24" s="11">
        <f>Mission!$C$41</f>
        <v>0</v>
      </c>
      <c r="D24" s="12">
        <f>-69.7+$E$9-IF(+C24&lt;36089,(36089-C24)*$E$6,0)</f>
        <v>58.999148239999997</v>
      </c>
      <c r="E24" s="12">
        <f>SQRT($E$3*$E$4*$E$5*(459.7+D24))</f>
        <v>1116.4557785590682</v>
      </c>
      <c r="F24" s="13">
        <f>IF(C24&lt;36089,$E$10*(1+$E$6*C24/519)^(-1/($E$6*$E$5)),$E$10*0.2234*EXP(-(C24-36089)/20806.7))</f>
        <v>14.695833333333333</v>
      </c>
      <c r="G24" s="11">
        <f>$E$11*(F24/$E$10)*((518.7+$E$9)/(459.7+D24))</f>
        <v>2.3770039032906206E-3</v>
      </c>
      <c r="H24" s="11">
        <f t="shared" si="0"/>
        <v>1.0000016421079598</v>
      </c>
      <c r="I24" s="86"/>
      <c r="J24" s="7"/>
      <c r="K24" s="4"/>
    </row>
    <row r="25" spans="1:11" ht="13.8" x14ac:dyDescent="0.3">
      <c r="A25" s="176" t="str">
        <f>Mission!A45</f>
        <v>Phase 9 - Climb &amp; Accel:</v>
      </c>
      <c r="B25" s="175"/>
      <c r="C25" s="10"/>
      <c r="D25" s="33" t="s">
        <v>15</v>
      </c>
      <c r="E25" s="33" t="s">
        <v>15</v>
      </c>
      <c r="F25" s="34" t="s">
        <v>15</v>
      </c>
      <c r="G25" s="8" t="s">
        <v>15</v>
      </c>
      <c r="H25" s="11" t="e">
        <f t="shared" si="0"/>
        <v>#VALUE!</v>
      </c>
      <c r="I25" s="86"/>
      <c r="J25" s="7"/>
      <c r="K25" s="4"/>
    </row>
    <row r="26" spans="1:11" ht="13.8" x14ac:dyDescent="0.3">
      <c r="A26" s="58" t="str">
        <f>Mission!A49</f>
        <v>Phase 10 - Supercruise Return:</v>
      </c>
      <c r="B26" s="53"/>
      <c r="C26" s="11">
        <f>Mission!$C$48</f>
        <v>33000</v>
      </c>
      <c r="D26" s="12">
        <f>-69.7+$E$9-IF(+C26&lt;36089,(36089-C26)*$E$6,0)</f>
        <v>-58.68413176</v>
      </c>
      <c r="E26" s="12">
        <f>SQRT($E$3*$E$4*$E$5*(459.7+D26))</f>
        <v>981.66778120077788</v>
      </c>
      <c r="F26" s="13">
        <f>IF(C26&lt;36089,$E$10*(1+$E$6*C26/519)^(-1/($E$6*$E$5)),$E$10*0.2234*EXP(-(C26-36089)/20806.7))</f>
        <v>3.8035654490387825</v>
      </c>
      <c r="G26" s="11">
        <f>$E$11*(F26/$E$10)*((518.7+$E$9)/(459.7+D26))</f>
        <v>7.9575714615051077E-4</v>
      </c>
      <c r="H26" s="11">
        <f t="shared" si="0"/>
        <v>0.33477372576798936</v>
      </c>
      <c r="I26" s="86"/>
      <c r="J26" s="7"/>
      <c r="K26" s="4"/>
    </row>
    <row r="27" spans="1:11" ht="13.8" x14ac:dyDescent="0.3">
      <c r="A27" s="58" t="str">
        <f>Mission!A51</f>
        <v>Phase 11 - Subsonic Cruise:</v>
      </c>
      <c r="B27" s="53"/>
      <c r="C27" s="11">
        <f>Mission!$C$53</f>
        <v>35000</v>
      </c>
      <c r="D27" s="12">
        <f>-69.7+$E$9-IF(+C27&lt;36089,(36089-C27)*$E$6,0)</f>
        <v>-65.816451760000007</v>
      </c>
      <c r="E27" s="12">
        <f>SQRT($E$3*$E$4*$E$5*(459.7+D27))</f>
        <v>972.89882577963829</v>
      </c>
      <c r="F27" s="13">
        <f>IF(C27&lt;36089,$E$10*(1+$E$6*C27/519)^(-1/($E$6*$E$5)),$E$10*0.2234*EXP(-(C27-36089)/20806.7))</f>
        <v>3.4614432852086239</v>
      </c>
      <c r="G27" s="11">
        <f>$E$11*(F27/$E$10)*((518.7+$E$9)/(459.7+D27))</f>
        <v>7.3729381452611645E-4</v>
      </c>
      <c r="H27" s="11">
        <f t="shared" si="0"/>
        <v>0.31017829807577468</v>
      </c>
      <c r="I27" s="86"/>
      <c r="J27" s="7"/>
      <c r="K27" s="4"/>
    </row>
    <row r="28" spans="1:11" ht="13.8" x14ac:dyDescent="0.3">
      <c r="A28" s="176" t="str">
        <f>Mission!A55</f>
        <v>Phase 12 - Descent:</v>
      </c>
      <c r="B28" s="175"/>
      <c r="C28" s="10"/>
      <c r="D28" s="10"/>
      <c r="E28" s="10"/>
      <c r="F28" s="33" t="s">
        <v>15</v>
      </c>
      <c r="G28" s="33" t="s">
        <v>15</v>
      </c>
      <c r="H28" s="10"/>
      <c r="I28" s="86"/>
      <c r="J28" s="4"/>
      <c r="K28" s="4"/>
    </row>
    <row r="29" spans="1:11" ht="14.4" thickBot="1" x14ac:dyDescent="0.35">
      <c r="A29" s="177" t="str">
        <f>Mission!A58</f>
        <v>Phase 13 - Land &amp; Taxi:</v>
      </c>
      <c r="B29" s="179"/>
      <c r="C29" s="79"/>
      <c r="D29" s="79"/>
      <c r="E29" s="79"/>
      <c r="F29" s="133" t="s">
        <v>15</v>
      </c>
      <c r="G29" s="133" t="s">
        <v>15</v>
      </c>
      <c r="H29" s="79"/>
      <c r="I29" s="90"/>
      <c r="J29" s="4"/>
      <c r="K29" s="4"/>
    </row>
    <row r="30" spans="1:11" ht="13.8" x14ac:dyDescent="0.3">
      <c r="A30" s="4"/>
      <c r="B30" s="4"/>
      <c r="C30" s="4"/>
      <c r="D30" s="4"/>
      <c r="E30" s="4"/>
      <c r="F30" s="4"/>
      <c r="G30" s="4"/>
      <c r="H30" s="4"/>
      <c r="I30" s="4"/>
      <c r="J30" s="4"/>
      <c r="K30" s="4"/>
    </row>
    <row r="31" spans="1:11" ht="13.8" x14ac:dyDescent="0.3">
      <c r="A31" s="4"/>
      <c r="B31" s="4"/>
      <c r="C31" s="4"/>
      <c r="D31" s="4"/>
      <c r="E31" s="4"/>
      <c r="F31" s="4"/>
      <c r="G31" s="4"/>
      <c r="H31" s="4"/>
      <c r="I31" s="4"/>
      <c r="J31" s="4"/>
      <c r="K31" s="4"/>
    </row>
  </sheetData>
  <mergeCells count="17">
    <mergeCell ref="A24:B24"/>
    <mergeCell ref="A25:B25"/>
    <mergeCell ref="A11:C11"/>
    <mergeCell ref="A28:B28"/>
    <mergeCell ref="A29:B29"/>
    <mergeCell ref="A20:B20"/>
    <mergeCell ref="A21:B21"/>
    <mergeCell ref="A3:C3"/>
    <mergeCell ref="A4:C4"/>
    <mergeCell ref="A5:C5"/>
    <mergeCell ref="A6:C6"/>
    <mergeCell ref="A7:C7"/>
    <mergeCell ref="A8:C8"/>
    <mergeCell ref="A9:C9"/>
    <mergeCell ref="A10:C10"/>
    <mergeCell ref="A18:B18"/>
    <mergeCell ref="A19:B1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8</vt:i4>
      </vt:variant>
      <vt:variant>
        <vt:lpstr>Charts</vt:lpstr>
      </vt:variant>
      <vt:variant>
        <vt:i4>7</vt:i4>
      </vt:variant>
      <vt:variant>
        <vt:lpstr>Named Ranges</vt:lpstr>
      </vt:variant>
      <vt:variant>
        <vt:i4>313</vt:i4>
      </vt:variant>
    </vt:vector>
  </HeadingPairs>
  <TitlesOfParts>
    <vt:vector size="328" baseType="lpstr">
      <vt:lpstr>Notes</vt:lpstr>
      <vt:lpstr>Mission</vt:lpstr>
      <vt:lpstr>Baseline</vt:lpstr>
      <vt:lpstr>Aerodynamics</vt:lpstr>
      <vt:lpstr>Performance</vt:lpstr>
      <vt:lpstr>Wt &amp; Balance</vt:lpstr>
      <vt:lpstr>Propulsion</vt:lpstr>
      <vt:lpstr>Atmosphere</vt:lpstr>
      <vt:lpstr>ToW vs WoS(MIL)</vt:lpstr>
      <vt:lpstr>ToW vs WoS (CIVIL)</vt:lpstr>
      <vt:lpstr>Struct. Wt. Pie</vt:lpstr>
      <vt:lpstr>Drag Polars</vt:lpstr>
      <vt:lpstr>Drag Pie Chart</vt:lpstr>
      <vt:lpstr>Drag Bar Chart</vt:lpstr>
      <vt:lpstr>Balance Plot</vt:lpstr>
      <vt:lpstr>\f</vt:lpstr>
      <vt:lpstr>\g</vt:lpstr>
      <vt:lpstr>_ALT1</vt:lpstr>
      <vt:lpstr>_ALT2</vt:lpstr>
      <vt:lpstr>_ALT3</vt:lpstr>
      <vt:lpstr>_ALT4</vt:lpstr>
      <vt:lpstr>_ALT5</vt:lpstr>
      <vt:lpstr>_CDO1</vt:lpstr>
      <vt:lpstr>_CDO2</vt:lpstr>
      <vt:lpstr>_CDO3</vt:lpstr>
      <vt:lpstr>_CDO4</vt:lpstr>
      <vt:lpstr>_CDO5</vt:lpstr>
      <vt:lpstr>_GEE1</vt:lpstr>
      <vt:lpstr>_GEE2</vt:lpstr>
      <vt:lpstr>_GEE3</vt:lpstr>
      <vt:lpstr>_GEE4</vt:lpstr>
      <vt:lpstr>_GEE5</vt:lpstr>
      <vt:lpstr>_KAY1</vt:lpstr>
      <vt:lpstr>_KAY2</vt:lpstr>
      <vt:lpstr>_KAY3</vt:lpstr>
      <vt:lpstr>_KAY4</vt:lpstr>
      <vt:lpstr>_KAY5</vt:lpstr>
      <vt:lpstr>_KF1</vt:lpstr>
      <vt:lpstr>_KF2</vt:lpstr>
      <vt:lpstr>_KF3</vt:lpstr>
      <vt:lpstr>_QUE1</vt:lpstr>
      <vt:lpstr>_QUE2</vt:lpstr>
      <vt:lpstr>_QUE3</vt:lpstr>
      <vt:lpstr>_QUE4</vt:lpstr>
      <vt:lpstr>_QUE5</vt:lpstr>
      <vt:lpstr>_SEP1</vt:lpstr>
      <vt:lpstr>_SEP2</vt:lpstr>
      <vt:lpstr>_SEP3</vt:lpstr>
      <vt:lpstr>_SEP4</vt:lpstr>
      <vt:lpstr>_SEP5</vt:lpstr>
      <vt:lpstr>_VEE1</vt:lpstr>
      <vt:lpstr>_VEE2</vt:lpstr>
      <vt:lpstr>_VEE3</vt:lpstr>
      <vt:lpstr>_VEE4</vt:lpstr>
      <vt:lpstr>_VEE5</vt:lpstr>
      <vt:lpstr>A</vt:lpstr>
      <vt:lpstr>AERODYNAMICS</vt:lpstr>
      <vt:lpstr>AFUSE</vt:lpstr>
      <vt:lpstr>AHTSOB</vt:lpstr>
      <vt:lpstr>ANAC</vt:lpstr>
      <vt:lpstr>ANOSE</vt:lpstr>
      <vt:lpstr>APARA</vt:lpstr>
      <vt:lpstr>APYLON</vt:lpstr>
      <vt:lpstr>AR</vt:lpstr>
      <vt:lpstr>ARHTAIL</vt:lpstr>
      <vt:lpstr>ARVTAIL</vt:lpstr>
      <vt:lpstr>ATAIL</vt:lpstr>
      <vt:lpstr>AVTSOB</vt:lpstr>
      <vt:lpstr>AWINGSOB</vt:lpstr>
      <vt:lpstr>AXSNAC</vt:lpstr>
      <vt:lpstr>B</vt:lpstr>
      <vt:lpstr>BALANCE</vt:lpstr>
      <vt:lpstr>BASELINE</vt:lpstr>
      <vt:lpstr>BHT</vt:lpstr>
      <vt:lpstr>BURIED</vt:lpstr>
      <vt:lpstr>BURNER</vt:lpstr>
      <vt:lpstr>BVT</vt:lpstr>
      <vt:lpstr>CARGFUSE</vt:lpstr>
      <vt:lpstr>CDO</vt:lpstr>
      <vt:lpstr>CDOCALC</vt:lpstr>
      <vt:lpstr>CDOSUB</vt:lpstr>
      <vt:lpstr>CDOSUP</vt:lpstr>
      <vt:lpstr>CLMAXCOM</vt:lpstr>
      <vt:lpstr>CLMAXLD</vt:lpstr>
      <vt:lpstr>CLMAXTO</vt:lpstr>
      <vt:lpstr>COMRATIO</vt:lpstr>
      <vt:lpstr>COMWEIT</vt:lpstr>
      <vt:lpstr>CREW</vt:lpstr>
      <vt:lpstr>CROOT</vt:lpstr>
      <vt:lpstr>CROOTHT</vt:lpstr>
      <vt:lpstr>CROOTVT</vt:lpstr>
      <vt:lpstr>CSOB</vt:lpstr>
      <vt:lpstr>CTIP</vt:lpstr>
      <vt:lpstr>CURVE</vt:lpstr>
      <vt:lpstr>DELCD0LD</vt:lpstr>
      <vt:lpstr>DELCD0TO</vt:lpstr>
      <vt:lpstr>DELCDOGR</vt:lpstr>
      <vt:lpstr>DELCDOLD</vt:lpstr>
      <vt:lpstr>DELCDOTO</vt:lpstr>
      <vt:lpstr>DELHE</vt:lpstr>
      <vt:lpstr>DELHEAC2</vt:lpstr>
      <vt:lpstr>DELHEACN</vt:lpstr>
      <vt:lpstr>DELHECL</vt:lpstr>
      <vt:lpstr>DELTAT</vt:lpstr>
      <vt:lpstr>DELTOGW</vt:lpstr>
      <vt:lpstr>DEQUIV</vt:lpstr>
      <vt:lpstr>DEXHAUST</vt:lpstr>
      <vt:lpstr>DNAC</vt:lpstr>
      <vt:lpstr>DRAG</vt:lpstr>
      <vt:lpstr>DRAG_POLARS</vt:lpstr>
      <vt:lpstr>E</vt:lpstr>
      <vt:lpstr>ENGTYPE</vt:lpstr>
      <vt:lpstr>ETURNS</vt:lpstr>
      <vt:lpstr>EXPEND</vt:lpstr>
      <vt:lpstr>F</vt:lpstr>
      <vt:lpstr>FIELDALT</vt:lpstr>
      <vt:lpstr>FIXSTAB</vt:lpstr>
      <vt:lpstr>FNREF</vt:lpstr>
      <vt:lpstr>FUELDESC</vt:lpstr>
      <vt:lpstr>FUELLAND</vt:lpstr>
      <vt:lpstr>FUELRES</vt:lpstr>
      <vt:lpstr>G</vt:lpstr>
      <vt:lpstr>GAMMA</vt:lpstr>
      <vt:lpstr>GD.OEW</vt:lpstr>
      <vt:lpstr>GSUP1</vt:lpstr>
      <vt:lpstr>HAVEACCN</vt:lpstr>
      <vt:lpstr>HAVEACN2</vt:lpstr>
      <vt:lpstr>HAVECL</vt:lpstr>
      <vt:lpstr>HCRUISE</vt:lpstr>
      <vt:lpstr>HEND</vt:lpstr>
      <vt:lpstr>HENDCLB</vt:lpstr>
      <vt:lpstr>HFIN</vt:lpstr>
      <vt:lpstr>HFUSE</vt:lpstr>
      <vt:lpstr>HINIT</vt:lpstr>
      <vt:lpstr>HSTART</vt:lpstr>
      <vt:lpstr>HTRATIO</vt:lpstr>
      <vt:lpstr>HVT</vt:lpstr>
      <vt:lpstr>INFUSE</vt:lpstr>
      <vt:lpstr>KEASMAXC</vt:lpstr>
      <vt:lpstr>KEASMAXD</vt:lpstr>
      <vt:lpstr>KFSP</vt:lpstr>
      <vt:lpstr>KH</vt:lpstr>
      <vt:lpstr>KINL</vt:lpstr>
      <vt:lpstr>KPIV</vt:lpstr>
      <vt:lpstr>KSUB</vt:lpstr>
      <vt:lpstr>KSUP</vt:lpstr>
      <vt:lpstr>KV</vt:lpstr>
      <vt:lpstr>L</vt:lpstr>
      <vt:lpstr>LAMBDA</vt:lpstr>
      <vt:lpstr>LAMBDA2</vt:lpstr>
      <vt:lpstr>LAMBDA2H</vt:lpstr>
      <vt:lpstr>LAMBDAHT</vt:lpstr>
      <vt:lpstr>LAMTAIL</vt:lpstr>
      <vt:lpstr>LANDWEIT</vt:lpstr>
      <vt:lpstr>LAPSE</vt:lpstr>
      <vt:lpstr>LDUCT</vt:lpstr>
      <vt:lpstr>LEMAC</vt:lpstr>
      <vt:lpstr>LEMACWCG</vt:lpstr>
      <vt:lpstr>LESWEEP</vt:lpstr>
      <vt:lpstr>LFUSE</vt:lpstr>
      <vt:lpstr>LHT</vt:lpstr>
      <vt:lpstr>LNAC</vt:lpstr>
      <vt:lpstr>LNOSE</vt:lpstr>
      <vt:lpstr>LODACCN</vt:lpstr>
      <vt:lpstr>LODACN2</vt:lpstr>
      <vt:lpstr>LODCLIMB</vt:lpstr>
      <vt:lpstr>LODMAXSB</vt:lpstr>
      <vt:lpstr>LODMAXSP</vt:lpstr>
      <vt:lpstr>LODSUBCR</vt:lpstr>
      <vt:lpstr>LODSUPCR</vt:lpstr>
      <vt:lpstr>LOITALT</vt:lpstr>
      <vt:lpstr>LOITEND</vt:lpstr>
      <vt:lpstr>LOITMACH</vt:lpstr>
      <vt:lpstr>LORATIO</vt:lpstr>
      <vt:lpstr>LPARA</vt:lpstr>
      <vt:lpstr>LVT</vt:lpstr>
      <vt:lpstr>MAC</vt:lpstr>
      <vt:lpstr>MACH1</vt:lpstr>
      <vt:lpstr>MACH2</vt:lpstr>
      <vt:lpstr>MACH3</vt:lpstr>
      <vt:lpstr>MACH4</vt:lpstr>
      <vt:lpstr>MACH5</vt:lpstr>
      <vt:lpstr>MACHT</vt:lpstr>
      <vt:lpstr>MACIN</vt:lpstr>
      <vt:lpstr>MACVT</vt:lpstr>
      <vt:lpstr>MAXG</vt:lpstr>
      <vt:lpstr>MCRUISE</vt:lpstr>
      <vt:lpstr>MEND</vt:lpstr>
      <vt:lpstr>MENDCLB</vt:lpstr>
      <vt:lpstr>MFIN</vt:lpstr>
      <vt:lpstr>MINIT</vt:lpstr>
      <vt:lpstr>MLGFUSE</vt:lpstr>
      <vt:lpstr>MMAX</vt:lpstr>
      <vt:lpstr>MSTART</vt:lpstr>
      <vt:lpstr>MSUPER</vt:lpstr>
      <vt:lpstr>N</vt:lpstr>
      <vt:lpstr>NACWET</vt:lpstr>
      <vt:lpstr>NG</vt:lpstr>
      <vt:lpstr>NGREQD</vt:lpstr>
      <vt:lpstr>NINL</vt:lpstr>
      <vt:lpstr>NNAC</vt:lpstr>
      <vt:lpstr>NTURNS</vt:lpstr>
      <vt:lpstr>NULT</vt:lpstr>
      <vt:lpstr>PAYLOAD</vt:lpstr>
      <vt:lpstr>PERFORMANCE</vt:lpstr>
      <vt:lpstr>PFUSE</vt:lpstr>
      <vt:lpstr>PNOSE</vt:lpstr>
      <vt:lpstr>POINTER2</vt:lpstr>
      <vt:lpstr>Notes!Print_Area</vt:lpstr>
      <vt:lpstr>Notes!Print_Area_MI</vt:lpstr>
      <vt:lpstr>PROPULSION</vt:lpstr>
      <vt:lpstr>PSIDOT</vt:lpstr>
      <vt:lpstr>PSL</vt:lpstr>
      <vt:lpstr>PTAIL</vt:lpstr>
      <vt:lpstr>QAVEACCN</vt:lpstr>
      <vt:lpstr>QAVEACN2</vt:lpstr>
      <vt:lpstr>QAVECL</vt:lpstr>
      <vt:lpstr>QCOMBAT</vt:lpstr>
      <vt:lpstr>QMAX</vt:lpstr>
      <vt:lpstr>R_</vt:lpstr>
      <vt:lpstr>REPERFT</vt:lpstr>
      <vt:lpstr>RFFUSE</vt:lpstr>
      <vt:lpstr>RFGEAR</vt:lpstr>
      <vt:lpstr>RFHORZT</vt:lpstr>
      <vt:lpstr>RFNAC</vt:lpstr>
      <vt:lpstr>RFVERTT</vt:lpstr>
      <vt:lpstr>RFWING</vt:lpstr>
      <vt:lpstr>RLS</vt:lpstr>
      <vt:lpstr>RO0</vt:lpstr>
      <vt:lpstr>ROSL</vt:lpstr>
      <vt:lpstr>SEP</vt:lpstr>
      <vt:lpstr>SFCCL</vt:lpstr>
      <vt:lpstr>SFCCOMB</vt:lpstr>
      <vt:lpstr>SFCCR</vt:lpstr>
      <vt:lpstr>SFCLO</vt:lpstr>
      <vt:lpstr>SFCSUPER</vt:lpstr>
      <vt:lpstr>SFCTO</vt:lpstr>
      <vt:lpstr>SFUSE</vt:lpstr>
      <vt:lpstr>SHT</vt:lpstr>
      <vt:lpstr>SHTWET</vt:lpstr>
      <vt:lpstr>SIGMATO</vt:lpstr>
      <vt:lpstr>SPAN</vt:lpstr>
      <vt:lpstr>SPANEFF</vt:lpstr>
      <vt:lpstr>SR</vt:lpstr>
      <vt:lpstr>SREF</vt:lpstr>
      <vt:lpstr>SUBDIST</vt:lpstr>
      <vt:lpstr>SUPALT</vt:lpstr>
      <vt:lpstr>SUPDIST</vt:lpstr>
      <vt:lpstr>SVT</vt:lpstr>
      <vt:lpstr>SVTWET</vt:lpstr>
      <vt:lpstr>SWEEP2</vt:lpstr>
      <vt:lpstr>SWETWING</vt:lpstr>
      <vt:lpstr>SWITCH1</vt:lpstr>
      <vt:lpstr>SWITCH10</vt:lpstr>
      <vt:lpstr>SWITCH11</vt:lpstr>
      <vt:lpstr>SWITCH12</vt:lpstr>
      <vt:lpstr>SWITCH13</vt:lpstr>
      <vt:lpstr>SWITCH2</vt:lpstr>
      <vt:lpstr>SWITCH3</vt:lpstr>
      <vt:lpstr>SWITCH4</vt:lpstr>
      <vt:lpstr>SWITCH5</vt:lpstr>
      <vt:lpstr>SWITCH6</vt:lpstr>
      <vt:lpstr>SWITCH7</vt:lpstr>
      <vt:lpstr>SWITCH8</vt:lpstr>
      <vt:lpstr>SWITCH9</vt:lpstr>
      <vt:lpstr>T0</vt:lpstr>
      <vt:lpstr>TAILSWP</vt:lpstr>
      <vt:lpstr>TEMAC</vt:lpstr>
      <vt:lpstr>TLAPSE</vt:lpstr>
      <vt:lpstr>TOACAPT</vt:lpstr>
      <vt:lpstr>TOANAC</vt:lpstr>
      <vt:lpstr>TOBURN</vt:lpstr>
      <vt:lpstr>TOC</vt:lpstr>
      <vt:lpstr>TOCLOC</vt:lpstr>
      <vt:lpstr>TOCROOT</vt:lpstr>
      <vt:lpstr>TOCROOTHT</vt:lpstr>
      <vt:lpstr>TOCROOTVT</vt:lpstr>
      <vt:lpstr>TOCRROOTVT</vt:lpstr>
      <vt:lpstr>TODIST</vt:lpstr>
      <vt:lpstr>TOGW</vt:lpstr>
      <vt:lpstr>TOLNAC</vt:lpstr>
      <vt:lpstr>TOR.OEW</vt:lpstr>
      <vt:lpstr>TORREF4</vt:lpstr>
      <vt:lpstr>TOTREF1</vt:lpstr>
      <vt:lpstr>TOTREF2</vt:lpstr>
      <vt:lpstr>TOTREF3</vt:lpstr>
      <vt:lpstr>TOTREF5</vt:lpstr>
      <vt:lpstr>TOW</vt:lpstr>
      <vt:lpstr>TOWACCN</vt:lpstr>
      <vt:lpstr>TOWACN2</vt:lpstr>
      <vt:lpstr>TOWCLIMB</vt:lpstr>
      <vt:lpstr>TOWCOMB</vt:lpstr>
      <vt:lpstr>TOWFAR</vt:lpstr>
      <vt:lpstr>TOWMAX</vt:lpstr>
      <vt:lpstr>TOWRANG2</vt:lpstr>
      <vt:lpstr>TOWRANGE</vt:lpstr>
      <vt:lpstr>TOWREQD</vt:lpstr>
      <vt:lpstr>TRATIO</vt:lpstr>
      <vt:lpstr>TROOTHT</vt:lpstr>
      <vt:lpstr>TROOTVT</vt:lpstr>
      <vt:lpstr>TSOB</vt:lpstr>
      <vt:lpstr>TURN2</vt:lpstr>
      <vt:lpstr>VARSWP</vt:lpstr>
      <vt:lpstr>VCOMBEND</vt:lpstr>
      <vt:lpstr>VFIN</vt:lpstr>
      <vt:lpstr>VHBAR</vt:lpstr>
      <vt:lpstr>VINIT</vt:lpstr>
      <vt:lpstr>VSUPER</vt:lpstr>
      <vt:lpstr>VSUPER2</vt:lpstr>
      <vt:lpstr>VVBAR</vt:lpstr>
      <vt:lpstr>WEAPWEIT</vt:lpstr>
      <vt:lpstr>WEITDIFF</vt:lpstr>
      <vt:lpstr>WEITDIFF2</vt:lpstr>
      <vt:lpstr>WFIXED</vt:lpstr>
      <vt:lpstr>WFUSE</vt:lpstr>
      <vt:lpstr>WOS</vt:lpstr>
      <vt:lpstr>WOSACCN</vt:lpstr>
      <vt:lpstr>WOSACN2</vt:lpstr>
      <vt:lpstr>WOSCOMB</vt:lpstr>
      <vt:lpstr>WOSDIFF</vt:lpstr>
      <vt:lpstr>WOSLAND</vt:lpstr>
      <vt:lpstr>WOSREQD</vt:lpstr>
      <vt:lpstr>WOWREF1</vt:lpstr>
      <vt:lpstr>WOWREF2</vt:lpstr>
      <vt:lpstr>WOWREF3</vt:lpstr>
      <vt:lpstr>WOWREF4</vt:lpstr>
      <vt:lpstr>WOWREF5</vt:lpstr>
      <vt:lpstr>WPAY</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 Hays</dc:creator>
  <cp:lastModifiedBy>Tony Hays</cp:lastModifiedBy>
  <dcterms:created xsi:type="dcterms:W3CDTF">2008-03-04T16:48:20Z</dcterms:created>
  <dcterms:modified xsi:type="dcterms:W3CDTF">2014-03-31T02:48:42Z</dcterms:modified>
</cp:coreProperties>
</file>