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ircraft Design\Spreadsheets\Balanced Field Length\"/>
    </mc:Choice>
  </mc:AlternateContent>
  <xr:revisionPtr revIDLastSave="0" documentId="13_ncr:1_{9367FDDC-6F03-4959-9FED-24826144D9D1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  <c r="C85" i="1"/>
  <c r="G83" i="1"/>
  <c r="F83" i="1"/>
  <c r="E83" i="1"/>
  <c r="D83" i="1"/>
  <c r="C83" i="1"/>
  <c r="H41" i="1"/>
  <c r="H40" i="1"/>
  <c r="H38" i="1"/>
  <c r="H36" i="1" l="1"/>
  <c r="H32" i="1"/>
  <c r="H28" i="1"/>
  <c r="H24" i="1"/>
  <c r="H37" i="1" s="1"/>
  <c r="H39" i="1" s="1"/>
  <c r="G47" i="1"/>
  <c r="F47" i="1"/>
  <c r="E47" i="1"/>
  <c r="D47" i="1"/>
  <c r="C47" i="1"/>
  <c r="G45" i="1"/>
  <c r="F45" i="1"/>
  <c r="E45" i="1"/>
  <c r="D45" i="1"/>
  <c r="C45" i="1"/>
  <c r="G84" i="1" l="1"/>
  <c r="F84" i="1"/>
  <c r="E84" i="1"/>
  <c r="D84" i="1"/>
  <c r="C84" i="1"/>
  <c r="G69" i="1"/>
  <c r="G70" i="1" s="1"/>
  <c r="F69" i="1"/>
  <c r="F70" i="1" s="1"/>
  <c r="E69" i="1"/>
  <c r="E70" i="1" s="1"/>
  <c r="D69" i="1"/>
  <c r="D70" i="1" s="1"/>
  <c r="C69" i="1"/>
  <c r="C70" i="1" s="1"/>
  <c r="G59" i="1"/>
  <c r="G74" i="1" s="1"/>
  <c r="F59" i="1"/>
  <c r="F74" i="1" s="1"/>
  <c r="E59" i="1"/>
  <c r="E74" i="1" s="1"/>
  <c r="D59" i="1"/>
  <c r="D74" i="1" s="1"/>
  <c r="C59" i="1"/>
  <c r="C74" i="1" s="1"/>
  <c r="G53" i="1"/>
  <c r="F53" i="1"/>
  <c r="E53" i="1"/>
  <c r="D53" i="1"/>
  <c r="C53" i="1"/>
  <c r="G51" i="1"/>
  <c r="G52" i="1" s="1"/>
  <c r="F51" i="1"/>
  <c r="F52" i="1" s="1"/>
  <c r="F54" i="1" s="1"/>
  <c r="F55" i="1" s="1"/>
  <c r="E51" i="1"/>
  <c r="E52" i="1" s="1"/>
  <c r="E54" i="1" s="1"/>
  <c r="E55" i="1" s="1"/>
  <c r="D51" i="1"/>
  <c r="D52" i="1" s="1"/>
  <c r="D54" i="1" s="1"/>
  <c r="D55" i="1" s="1"/>
  <c r="C51" i="1"/>
  <c r="G49" i="1"/>
  <c r="F49" i="1"/>
  <c r="E49" i="1"/>
  <c r="D49" i="1"/>
  <c r="C49" i="1"/>
  <c r="G48" i="1"/>
  <c r="G50" i="1" s="1"/>
  <c r="F48" i="1"/>
  <c r="E48" i="1"/>
  <c r="E50" i="1" s="1"/>
  <c r="D48" i="1"/>
  <c r="D50" i="1" s="1"/>
  <c r="C48" i="1"/>
  <c r="C50" i="1" s="1"/>
  <c r="H21" i="1"/>
  <c r="F67" i="1" s="1"/>
  <c r="F68" i="1" s="1"/>
  <c r="C52" i="1" l="1"/>
  <c r="F50" i="1"/>
  <c r="F56" i="1" s="1"/>
  <c r="C54" i="1"/>
  <c r="C55" i="1" s="1"/>
  <c r="C56" i="1" s="1"/>
  <c r="D56" i="1"/>
  <c r="E56" i="1"/>
  <c r="G54" i="1"/>
  <c r="G55" i="1" s="1"/>
  <c r="G56" i="1" s="1"/>
  <c r="F71" i="1"/>
  <c r="F72" i="1" s="1"/>
  <c r="F73" i="1" s="1"/>
  <c r="G67" i="1"/>
  <c r="G68" i="1" s="1"/>
  <c r="G71" i="1" s="1"/>
  <c r="G72" i="1" s="1"/>
  <c r="G73" i="1" s="1"/>
  <c r="C67" i="1"/>
  <c r="C68" i="1" s="1"/>
  <c r="C71" i="1" s="1"/>
  <c r="C72" i="1" s="1"/>
  <c r="C73" i="1" s="1"/>
  <c r="D67" i="1"/>
  <c r="D68" i="1" s="1"/>
  <c r="D71" i="1" s="1"/>
  <c r="D72" i="1" s="1"/>
  <c r="D73" i="1" s="1"/>
  <c r="E67" i="1"/>
  <c r="E68" i="1" s="1"/>
  <c r="E71" i="1" s="1"/>
  <c r="E72" i="1" s="1"/>
  <c r="E73" i="1" s="1"/>
  <c r="F78" i="1" s="1"/>
  <c r="E78" i="1" l="1"/>
  <c r="D78" i="1"/>
  <c r="G78" i="1"/>
  <c r="F62" i="1"/>
  <c r="F63" i="1" s="1"/>
  <c r="F64" i="1" s="1"/>
  <c r="F57" i="1"/>
  <c r="F58" i="1" s="1"/>
  <c r="E62" i="1"/>
  <c r="E63" i="1" s="1"/>
  <c r="E64" i="1" s="1"/>
  <c r="E57" i="1"/>
  <c r="E58" i="1" s="1"/>
  <c r="C62" i="1"/>
  <c r="C63" i="1" s="1"/>
  <c r="C64" i="1" s="1"/>
  <c r="C57" i="1"/>
  <c r="C58" i="1" s="1"/>
  <c r="D57" i="1"/>
  <c r="D58" i="1" s="1"/>
  <c r="D62" i="1"/>
  <c r="D63" i="1" s="1"/>
  <c r="D64" i="1" s="1"/>
  <c r="G62" i="1"/>
  <c r="G63" i="1" s="1"/>
  <c r="G64" i="1" s="1"/>
  <c r="G57" i="1"/>
  <c r="G58" i="1" s="1"/>
  <c r="G77" i="1" l="1"/>
  <c r="G79" i="1" s="1"/>
  <c r="G82" i="1"/>
  <c r="E82" i="1"/>
  <c r="E77" i="1"/>
  <c r="E79" i="1" s="1"/>
  <c r="D82" i="1"/>
  <c r="D77" i="1"/>
  <c r="D79" i="1" s="1"/>
  <c r="F77" i="1"/>
  <c r="F79" i="1" s="1"/>
  <c r="F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Hays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Lift coefficient in rejected takeoff configuration</t>
        </r>
      </text>
    </comment>
    <comment ref="H32" authorId="0" shapeId="0" xr:uid="{FF85B926-79E2-4091-A5C9-DF482702F9FA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This value from adjacent figure (upper half)</t>
        </r>
      </text>
    </comment>
    <comment ref="H36" authorId="0" shapeId="0" xr:uid="{9D090DA2-6AA3-48C7-8829-773FC0D84323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This value from adjacent figure (lower half)</t>
        </r>
      </text>
    </comment>
    <comment ref="H39" authorId="0" shapeId="0" xr:uid="{0CB4BE6E-5E21-41BD-9DC7-CF5A2396940D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This is a convoluted method of calculating distance travelled from liftoff to 35 ft</t>
        </r>
      </text>
    </comment>
    <comment ref="H40" authorId="0" shapeId="0" xr:uid="{201333A2-5298-4539-9CD5-EFBCC7C8F9ED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This =n only works if 120&lt;V</t>
        </r>
        <r>
          <rPr>
            <vertAlign val="subscript"/>
            <sz val="9"/>
            <color indexed="81"/>
            <rFont val="Tahoma"/>
            <family val="2"/>
          </rPr>
          <t>LO</t>
        </r>
        <r>
          <rPr>
            <sz val="9"/>
            <color indexed="81"/>
            <rFont val="Tahoma"/>
            <family val="2"/>
          </rPr>
          <t>&lt;140 kt</t>
        </r>
      </text>
    </comment>
    <comment ref="H41" authorId="0" shapeId="0" xr:uid="{107D00AD-3141-411F-A3C8-3AAA888F36CD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This =n only works if 120&lt;V</t>
        </r>
        <r>
          <rPr>
            <vertAlign val="subscript"/>
            <sz val="9"/>
            <color indexed="81"/>
            <rFont val="Tahoma"/>
            <family val="2"/>
          </rPr>
          <t>LO</t>
        </r>
        <r>
          <rPr>
            <sz val="9"/>
            <color indexed="81"/>
            <rFont val="Tahoma"/>
            <family val="2"/>
          </rPr>
          <t>&lt;140 kt</t>
        </r>
      </text>
    </comment>
    <comment ref="B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From engine tabular data</t>
        </r>
      </text>
    </comment>
    <comment ref="B5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Frictional drag of landing gear wheels </t>
        </r>
      </text>
    </comment>
    <comment ref="B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Thrust - drag - wheel friction</t>
        </r>
      </text>
    </comment>
    <comment ref="B6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Neglect drag of windmilling engine and trim drag</t>
        </r>
      </text>
    </comment>
    <comment ref="B6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This assumes that the flaps and spoilers produce no net download, although in practice there probably is one.</t>
        </r>
      </text>
    </comment>
    <comment ref="B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Braking force</t>
        </r>
      </text>
    </comment>
    <comment ref="B7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Braking + aerodynamic drag.</t>
        </r>
      </text>
    </comment>
    <comment ref="B78" authorId="0" shapeId="0" xr:uid="{7B1F2D18-E965-45D8-98FF-1E71CD024C0E}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Calculated as V^2/2a, where 'a' is the average acceleration over the previous distance</t>
        </r>
      </text>
    </comment>
  </commentList>
</comments>
</file>

<file path=xl/sharedStrings.xml><?xml version="1.0" encoding="utf-8"?>
<sst xmlns="http://schemas.openxmlformats.org/spreadsheetml/2006/main" count="94" uniqueCount="83">
  <si>
    <r>
      <t>C</t>
    </r>
    <r>
      <rPr>
        <vertAlign val="subscript"/>
        <sz val="11"/>
        <color theme="1"/>
        <rFont val="Calibri"/>
        <family val="2"/>
        <scheme val="minor"/>
      </rPr>
      <t>L</t>
    </r>
  </si>
  <si>
    <r>
      <t>C</t>
    </r>
    <r>
      <rPr>
        <vertAlign val="subscript"/>
        <sz val="11"/>
        <color theme="1"/>
        <rFont val="Calibri"/>
        <family val="2"/>
        <scheme val="minor"/>
      </rPr>
      <t>Dclean</t>
    </r>
  </si>
  <si>
    <r>
      <t>C</t>
    </r>
    <r>
      <rPr>
        <vertAlign val="subscript"/>
        <sz val="11"/>
        <color theme="1"/>
        <rFont val="Calibri"/>
        <family val="2"/>
        <scheme val="minor"/>
      </rPr>
      <t>Dflaps</t>
    </r>
  </si>
  <si>
    <r>
      <t>C</t>
    </r>
    <r>
      <rPr>
        <vertAlign val="subscript"/>
        <sz val="11"/>
        <color theme="1"/>
        <rFont val="Calibri"/>
        <family val="2"/>
        <scheme val="minor"/>
      </rPr>
      <t>Dspoilers</t>
    </r>
  </si>
  <si>
    <r>
      <t>C</t>
    </r>
    <r>
      <rPr>
        <vertAlign val="subscript"/>
        <sz val="11"/>
        <color theme="1"/>
        <rFont val="Calibri"/>
        <family val="2"/>
        <scheme val="minor"/>
      </rPr>
      <t>Dgear</t>
    </r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</si>
  <si>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</si>
  <si>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r>
      <t>C</t>
    </r>
    <r>
      <rPr>
        <vertAlign val="subscript"/>
        <sz val="11"/>
        <color theme="1"/>
        <rFont val="Calibri"/>
        <family val="2"/>
        <scheme val="minor"/>
      </rPr>
      <t>Dslats</t>
    </r>
  </si>
  <si>
    <r>
      <t>C</t>
    </r>
    <r>
      <rPr>
        <vertAlign val="subscript"/>
        <sz val="11"/>
        <color theme="1"/>
        <rFont val="Calibri"/>
        <family val="2"/>
        <scheme val="minor"/>
      </rPr>
      <t>DRTO</t>
    </r>
  </si>
  <si>
    <r>
      <t>μ</t>
    </r>
    <r>
      <rPr>
        <vertAlign val="subscript"/>
        <sz val="11"/>
        <color theme="1"/>
        <rFont val="Calibri"/>
        <family val="2"/>
      </rPr>
      <t>B</t>
    </r>
  </si>
  <si>
    <r>
      <t>μ</t>
    </r>
    <r>
      <rPr>
        <vertAlign val="subscript"/>
        <sz val="11"/>
        <color theme="1"/>
        <rFont val="Calibri"/>
        <family val="2"/>
      </rPr>
      <t>R</t>
    </r>
  </si>
  <si>
    <r>
      <t>V</t>
    </r>
    <r>
      <rPr>
        <vertAlign val="subscript"/>
        <sz val="11"/>
        <color theme="1"/>
        <rFont val="Calibri"/>
        <family val="2"/>
      </rPr>
      <t>S</t>
    </r>
  </si>
  <si>
    <r>
      <t>Stall speed at G.W. = 100,000 lb, flaps 15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(kt EAS)</t>
    </r>
  </si>
  <si>
    <r>
      <t>S</t>
    </r>
    <r>
      <rPr>
        <vertAlign val="subscript"/>
        <sz val="11"/>
        <color theme="1"/>
        <rFont val="Calibri"/>
        <family val="2"/>
        <scheme val="minor"/>
      </rPr>
      <t>ref</t>
    </r>
  </si>
  <si>
    <r>
      <t>Airplane C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in rolling attitude with t.o. flaps    </t>
    </r>
  </si>
  <si>
    <r>
      <t>Airplane 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in rolling attitude with t.o. flaps     </t>
    </r>
  </si>
  <si>
    <t xml:space="preserve">Rolling coefficient of friction                                   </t>
  </si>
  <si>
    <t xml:space="preserve">Thrust/engine from engine data                                         </t>
  </si>
  <si>
    <r>
      <t>Reference wing area  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                                       </t>
    </r>
  </si>
  <si>
    <r>
      <t>Airplane C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in RTO configuration                         </t>
    </r>
  </si>
  <si>
    <t xml:space="preserve">Braking coefficient of friction                                            </t>
  </si>
  <si>
    <t>Mach</t>
  </si>
  <si>
    <t>T/eng (lb)</t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</si>
  <si>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total </t>
    </r>
    <r>
      <rPr>
        <sz val="11"/>
        <color theme="1"/>
        <rFont val="Calibri"/>
        <family val="2"/>
        <scheme val="minor"/>
      </rPr>
      <t>(lb)</t>
    </r>
  </si>
  <si>
    <r>
      <t>q (lb/ft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</si>
  <si>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scheme val="minor"/>
      </rPr>
      <t>KTS</t>
    </r>
  </si>
  <si>
    <t>D (lb)</t>
  </si>
  <si>
    <t>L (lb)</t>
  </si>
  <si>
    <r>
      <t>Airplane 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in RTO configuration                             </t>
    </r>
  </si>
  <si>
    <t xml:space="preserve">Airplane  takeoff weight (lb)                                </t>
  </si>
  <si>
    <r>
      <t>W</t>
    </r>
    <r>
      <rPr>
        <vertAlign val="subscript"/>
        <sz val="11"/>
        <color theme="1"/>
        <rFont val="Calibri"/>
        <family val="2"/>
        <scheme val="minor"/>
      </rPr>
      <t>TO</t>
    </r>
  </si>
  <si>
    <t>W-L (lb)</t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</si>
  <si>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(lb)</t>
    </r>
  </si>
  <si>
    <r>
      <t>a (ft/sec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</si>
  <si>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Gravitation acceleration   (ft/sec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              </t>
    </r>
  </si>
  <si>
    <t>g</t>
  </si>
  <si>
    <r>
      <t>1/(2a) (sec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/ft)</t>
    </r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</si>
  <si>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(ft/sec)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</si>
  <si>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V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(ft/sec)</t>
    </r>
    <r>
      <rPr>
        <vertAlign val="superscript"/>
        <sz val="11"/>
        <color theme="1"/>
        <rFont val="Calibri"/>
        <family val="2"/>
      </rPr>
      <t>2</t>
    </r>
  </si>
  <si>
    <r>
      <t>ΣF</t>
    </r>
    <r>
      <rPr>
        <vertAlign val="subscript"/>
        <sz val="11"/>
        <color theme="1"/>
        <rFont val="Calibri"/>
        <family val="2"/>
      </rPr>
      <t xml:space="preserve">rw </t>
    </r>
    <r>
      <rPr>
        <sz val="11"/>
        <color theme="1"/>
        <rFont val="Calibri"/>
        <family val="2"/>
      </rPr>
      <t>(lb)</t>
    </r>
  </si>
  <si>
    <r>
      <t>a (ft/sec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</si>
  <si>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ΣF</t>
    </r>
    <r>
      <rPr>
        <vertAlign val="subscript"/>
        <sz val="11"/>
        <color theme="1"/>
        <rFont val="Calibri"/>
        <family val="2"/>
        <scheme val="minor"/>
      </rPr>
      <t>rw</t>
    </r>
    <r>
      <rPr>
        <sz val="11"/>
        <color theme="1"/>
        <rFont val="Calibri"/>
        <family val="2"/>
        <scheme val="minor"/>
      </rPr>
      <t xml:space="preserve"> (lb) OEI</t>
    </r>
  </si>
  <si>
    <t>W-L   (lb)</t>
  </si>
  <si>
    <r>
      <t>F</t>
    </r>
    <r>
      <rPr>
        <vertAlign val="subscript"/>
        <sz val="11"/>
        <color theme="1"/>
        <rFont val="Calibri"/>
        <family val="2"/>
        <scheme val="minor"/>
      </rPr>
      <t>RW</t>
    </r>
    <r>
      <rPr>
        <sz val="11"/>
        <color theme="1"/>
        <rFont val="Calibri"/>
        <family val="2"/>
        <scheme val="minor"/>
      </rPr>
      <t xml:space="preserve"> (lb)</t>
    </r>
  </si>
  <si>
    <r>
      <t>1/(2a) (sec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/ft)</t>
    </r>
  </si>
  <si>
    <r>
      <t>Airplane 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clean (no flaps)</t>
    </r>
  </si>
  <si>
    <r>
      <t xml:space="preserve">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flaps</t>
    </r>
  </si>
  <si>
    <r>
      <t xml:space="preserve">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spoilers</t>
    </r>
  </si>
  <si>
    <r>
      <t xml:space="preserve">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landing gear</t>
    </r>
  </si>
  <si>
    <r>
      <t xml:space="preserve">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leading edge slats</t>
    </r>
  </si>
  <si>
    <t>Number of engines</t>
  </si>
  <si>
    <r>
      <t>Accel to 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(ft)</t>
    </r>
  </si>
  <si>
    <r>
      <t>Stop from V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(ft)</t>
    </r>
  </si>
  <si>
    <t>Accel-stop (ft)</t>
  </si>
  <si>
    <r>
      <t>Continue to V</t>
    </r>
    <r>
      <rPr>
        <vertAlign val="subscript"/>
        <sz val="11"/>
        <color theme="1"/>
        <rFont val="Calibri"/>
        <family val="2"/>
        <scheme val="minor"/>
      </rPr>
      <t>LOF</t>
    </r>
    <r>
      <rPr>
        <sz val="11"/>
        <color theme="1"/>
        <rFont val="Calibri"/>
        <family val="2"/>
        <scheme val="minor"/>
      </rPr>
      <t xml:space="preserve"> (ft)</t>
    </r>
  </si>
  <si>
    <t>Air Distance (ft)</t>
  </si>
  <si>
    <t>Accel-Continue (ft)</t>
  </si>
  <si>
    <t>Required 2nd segment gradient (2 engines)</t>
  </si>
  <si>
    <r>
      <t>γ</t>
    </r>
    <r>
      <rPr>
        <vertAlign val="subscript"/>
        <sz val="11"/>
        <color theme="1"/>
        <rFont val="Calibri"/>
        <family val="2"/>
      </rPr>
      <t>2eng</t>
    </r>
  </si>
  <si>
    <t>Required 2nd segment gradient (3 engines)</t>
  </si>
  <si>
    <t>Required 2nd segment gradient (4 engines)</t>
  </si>
  <si>
    <r>
      <t>γ</t>
    </r>
    <r>
      <rPr>
        <vertAlign val="subscript"/>
        <sz val="11"/>
        <color theme="1"/>
        <rFont val="Calibri"/>
        <family val="2"/>
      </rPr>
      <t>4eng</t>
    </r>
  </si>
  <si>
    <t>Required 2nd segment gradient (this airplane)</t>
  </si>
  <si>
    <r>
      <t>γ</t>
    </r>
    <r>
      <rPr>
        <vertAlign val="subscript"/>
        <sz val="11"/>
        <color theme="1"/>
        <rFont val="Calibri"/>
        <family val="2"/>
      </rPr>
      <t>2ndseg</t>
    </r>
  </si>
  <si>
    <r>
      <t>V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 xml:space="preserve"> = 1.2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(kt)</t>
    </r>
  </si>
  <si>
    <r>
      <t>V</t>
    </r>
    <r>
      <rPr>
        <vertAlign val="subscript"/>
        <sz val="11"/>
        <color theme="1"/>
        <rFont val="Calibri"/>
        <family val="2"/>
      </rPr>
      <t>35</t>
    </r>
  </si>
  <si>
    <r>
      <t>V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(2 engines)</t>
    </r>
  </si>
  <si>
    <r>
      <t>V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(3 engines)</t>
    </r>
  </si>
  <si>
    <r>
      <t>V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(4 engines)</t>
    </r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</si>
  <si>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(this airplane)</t>
    </r>
  </si>
  <si>
    <r>
      <t>V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(this airplane)</t>
    </r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</si>
  <si>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(2 engines) (sec)</t>
    </r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</si>
  <si>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(3 engines) (sec)</t>
    </r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</si>
  <si>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(4 engines) (sec)</t>
    </r>
  </si>
  <si>
    <r>
      <t>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(kt)</t>
    </r>
  </si>
  <si>
    <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(ft) (distance travelled from liftoff to 35 ft)</t>
    </r>
  </si>
  <si>
    <t>Table 2  Acceleration - All engines operating (AEO)</t>
  </si>
  <si>
    <t>Table 3  Acceleration - One engine inoperative (OEI)</t>
  </si>
  <si>
    <t>Table 4  Deceleration - Rejected takeoff (RTO)</t>
  </si>
  <si>
    <t>Table 5  Accelerate - Stop Distances</t>
  </si>
  <si>
    <r>
      <t>Table 6  Accelerate - Continue Distances to V</t>
    </r>
    <r>
      <rPr>
        <b/>
        <vertAlign val="subscript"/>
        <sz val="11"/>
        <color theme="1"/>
        <rFont val="Calibri"/>
        <family val="2"/>
        <scheme val="minor"/>
      </rPr>
      <t>35</t>
    </r>
  </si>
  <si>
    <r>
      <t>V</t>
    </r>
    <r>
      <rPr>
        <vertAlign val="subscript"/>
        <sz val="11"/>
        <color theme="1"/>
        <rFont val="Calibri"/>
        <family val="2"/>
        <scheme val="minor"/>
      </rPr>
      <t>LO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/sec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</si>
  <si>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1/(2a) at 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 (sec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/ft) (All engines operating)</t>
    </r>
  </si>
  <si>
    <r>
      <t>1/(2a) at V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 (sec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/ft) (One engine inoperative)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</si>
</sst>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vertAlign val="subscript"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1" xfId="0" applyFont="1" applyBorder="1"/>
    <xf numFmtId="3" fontId="9" fillId="0" borderId="1" xfId="0" applyNumberFormat="1" applyFont="1" applyBorder="1"/>
    <xf numFmtId="164" fontId="9" fillId="0" borderId="1" xfId="0" applyNumberFormat="1" applyFont="1" applyBorder="1"/>
    <xf numFmtId="2" fontId="9" fillId="0" borderId="1" xfId="0" applyNumberFormat="1" applyFont="1" applyBorder="1"/>
    <xf numFmtId="1" fontId="9" fillId="0" borderId="1" xfId="0" applyNumberFormat="1" applyFont="1" applyBorder="1"/>
    <xf numFmtId="165" fontId="11" fillId="0" borderId="1" xfId="0" applyNumberFormat="1" applyFont="1" applyBorder="1"/>
    <xf numFmtId="1" fontId="0" fillId="0" borderId="1" xfId="0" applyNumberFormat="1" applyFont="1" applyBorder="1"/>
    <xf numFmtId="0" fontId="0" fillId="0" borderId="1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Takeoff</a:t>
            </a:r>
            <a:r>
              <a:rPr lang="en-US" baseline="0"/>
              <a:t> Acceleration - Deceleration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Accel - Stop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10"/>
            <c:dispRSqr val="0"/>
            <c:dispEq val="0"/>
          </c:trendline>
          <c:xVal>
            <c:numRef>
              <c:f>Sheet1!$C$44:$F$44</c:f>
              <c:numCache>
                <c:formatCode>General</c:formatCode>
                <c:ptCount val="4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</c:numCache>
            </c:numRef>
          </c:xVal>
          <c:yVal>
            <c:numRef>
              <c:f>Sheet1!$C$79:$G$79</c:f>
              <c:numCache>
                <c:formatCode>0</c:formatCode>
                <c:ptCount val="5"/>
                <c:pt idx="0" formatCode="General">
                  <c:v>0</c:v>
                </c:pt>
                <c:pt idx="1">
                  <c:v>521.91076547370176</c:v>
                </c:pt>
                <c:pt idx="2">
                  <c:v>2122.4452787080418</c:v>
                </c:pt>
                <c:pt idx="3">
                  <c:v>4901.915592071331</c:v>
                </c:pt>
                <c:pt idx="4">
                  <c:v>6859.9463817036321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1-4CF1-A32B-6781B8E7F303}"/>
            </c:ext>
          </c:extLst>
        </c:ser>
        <c:ser>
          <c:idx val="1"/>
          <c:order val="1"/>
          <c:tx>
            <c:v>Accel - Go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forward val="10"/>
            <c:dispRSqr val="0"/>
            <c:dispEq val="0"/>
          </c:trendline>
          <c:xVal>
            <c:numRef>
              <c:f>Sheet1!$C$44:$G$44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140</c:v>
                </c:pt>
              </c:numCache>
            </c:numRef>
          </c:xVal>
          <c:yVal>
            <c:numRef>
              <c:f>Sheet1!$C$85:$F$85</c:f>
              <c:numCache>
                <c:formatCode>0</c:formatCode>
                <c:ptCount val="4"/>
                <c:pt idx="0">
                  <c:v>10045.272523795889</c:v>
                </c:pt>
                <c:pt idx="1">
                  <c:v>9690.148006458654</c:v>
                </c:pt>
                <c:pt idx="2">
                  <c:v>8473.1095754314065</c:v>
                </c:pt>
                <c:pt idx="3">
                  <c:v>5954.0367464977771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E1-4CF1-A32B-6781B8E7F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913904"/>
        <c:axId val="537918384"/>
      </c:scatterChart>
      <c:valAx>
        <c:axId val="53791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Engine Failure Recognition Speed - V</a:t>
                </a:r>
                <a:r>
                  <a:rPr lang="en-US" baseline="-25000"/>
                  <a:t>1 </a:t>
                </a:r>
                <a:r>
                  <a:rPr lang="en-US"/>
                  <a:t>(kt)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18384"/>
        <c:crosses val="autoZero"/>
        <c:crossBetween val="midCat"/>
      </c:valAx>
      <c:valAx>
        <c:axId val="5379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from Start of Takeoff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1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12</xdr:col>
      <xdr:colOff>361950</xdr:colOff>
      <xdr:row>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3586E6-6CAE-4E7D-A393-05EAB93B39B6}"/>
            </a:ext>
          </a:extLst>
        </xdr:cNvPr>
        <xdr:cNvSpPr txBox="1"/>
      </xdr:nvSpPr>
      <xdr:spPr>
        <a:xfrm>
          <a:off x="771525" y="161925"/>
          <a:ext cx="7067550" cy="8286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Balanced</a:t>
          </a:r>
          <a:r>
            <a:rPr lang="en-US" sz="1100" baseline="0"/>
            <a:t> Field Length</a:t>
          </a:r>
        </a:p>
        <a:p>
          <a:r>
            <a:rPr lang="en-US" sz="1100" baseline="0"/>
            <a:t>Using method in Schaufele "The Elements of Aircraft Preliminary Design" Chapter 16 Example Problem</a:t>
          </a:r>
        </a:p>
        <a:p>
          <a:r>
            <a:rPr lang="en-US" sz="1100" baseline="0"/>
            <a:t>DC-9 with flaps 15</a:t>
          </a:r>
          <a:r>
            <a:rPr lang="en-US" sz="1100" baseline="30000"/>
            <a:t>o</a:t>
          </a:r>
          <a:r>
            <a:rPr lang="en-US" sz="1100" baseline="0"/>
            <a:t>, spoilers 40</a:t>
          </a:r>
          <a:r>
            <a:rPr lang="en-US" sz="1100" baseline="30000"/>
            <a:t>o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Modify values in </a:t>
          </a:r>
          <a:r>
            <a:rPr lang="en-U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only.  All others are derived.</a:t>
          </a:r>
          <a:endParaRPr lang="en-US"/>
        </a:p>
        <a:p>
          <a:endParaRPr lang="en-US" sz="1100" baseline="30000"/>
        </a:p>
      </xdr:txBody>
    </xdr:sp>
    <xdr:clientData/>
  </xdr:twoCellAnchor>
  <xdr:twoCellAnchor editAs="oneCell">
    <xdr:from>
      <xdr:col>8</xdr:col>
      <xdr:colOff>542925</xdr:colOff>
      <xdr:row>23</xdr:row>
      <xdr:rowOff>104775</xdr:rowOff>
    </xdr:from>
    <xdr:to>
      <xdr:col>14</xdr:col>
      <xdr:colOff>581025</xdr:colOff>
      <xdr:row>41</xdr:row>
      <xdr:rowOff>144857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77A830-1E03-4694-BAC3-6FBF515E7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5067300"/>
          <a:ext cx="3695700" cy="4183457"/>
        </a:xfrm>
        <a:prstGeom prst="rect">
          <a:avLst/>
        </a:prstGeom>
      </xdr:spPr>
    </xdr:pic>
    <xdr:clientData/>
  </xdr:twoCellAnchor>
  <xdr:twoCellAnchor>
    <xdr:from>
      <xdr:col>7</xdr:col>
      <xdr:colOff>604837</xdr:colOff>
      <xdr:row>54</xdr:row>
      <xdr:rowOff>47625</xdr:rowOff>
    </xdr:from>
    <xdr:to>
      <xdr:col>15</xdr:col>
      <xdr:colOff>300037</xdr:colOff>
      <xdr:row>67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5807C7-EFA5-473A-AB09-F9D046E18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85"/>
  <sheetViews>
    <sheetView tabSelected="1" topLeftCell="A50" workbookViewId="0">
      <selection activeCell="K81" sqref="K81"/>
    </sheetView>
  </sheetViews>
  <sheetFormatPr defaultRowHeight="15" x14ac:dyDescent="0.25"/>
  <cols>
    <col min="2" max="2" width="19.85546875" customWidth="1"/>
  </cols>
  <sheetData>
    <row r="7" spans="2:8" ht="17.25" x14ac:dyDescent="0.25">
      <c r="B7" s="20" t="s">
        <v>33</v>
      </c>
      <c r="C7" s="21"/>
      <c r="D7" s="21"/>
      <c r="E7" s="21"/>
      <c r="F7" s="22"/>
      <c r="G7" s="1" t="s">
        <v>34</v>
      </c>
      <c r="H7" s="19">
        <v>32.200000000000003</v>
      </c>
    </row>
    <row r="8" spans="2:8" ht="18" x14ac:dyDescent="0.35">
      <c r="B8" s="20" t="s">
        <v>28</v>
      </c>
      <c r="C8" s="21"/>
      <c r="D8" s="21"/>
      <c r="E8" s="21"/>
      <c r="F8" s="22"/>
      <c r="G8" s="1" t="s">
        <v>29</v>
      </c>
      <c r="H8" s="13">
        <v>100000</v>
      </c>
    </row>
    <row r="9" spans="2:8" ht="18" x14ac:dyDescent="0.35">
      <c r="B9" s="20" t="s">
        <v>13</v>
      </c>
      <c r="C9" s="21"/>
      <c r="D9" s="21"/>
      <c r="E9" s="21"/>
      <c r="F9" s="22"/>
      <c r="G9" s="1" t="s">
        <v>0</v>
      </c>
      <c r="H9" s="12">
        <v>0.35499999999999998</v>
      </c>
    </row>
    <row r="10" spans="2:8" ht="18" x14ac:dyDescent="0.35">
      <c r="B10" s="20" t="s">
        <v>14</v>
      </c>
      <c r="C10" s="21"/>
      <c r="D10" s="21"/>
      <c r="E10" s="21"/>
      <c r="F10" s="22"/>
      <c r="G10" s="1" t="s">
        <v>5</v>
      </c>
      <c r="H10" s="14">
        <v>5.8500000000000003E-2</v>
      </c>
    </row>
    <row r="11" spans="2:8" ht="18" x14ac:dyDescent="0.35">
      <c r="B11" s="20" t="s">
        <v>15</v>
      </c>
      <c r="C11" s="21"/>
      <c r="D11" s="21"/>
      <c r="E11" s="21"/>
      <c r="F11" s="22"/>
      <c r="G11" s="3" t="s">
        <v>9</v>
      </c>
      <c r="H11" s="12">
        <v>0.02</v>
      </c>
    </row>
    <row r="12" spans="2:8" x14ac:dyDescent="0.25">
      <c r="B12" s="20" t="s">
        <v>16</v>
      </c>
      <c r="C12" s="21"/>
      <c r="D12" s="21"/>
      <c r="E12" s="21"/>
      <c r="F12" s="22"/>
      <c r="G12" s="1"/>
      <c r="H12" s="12"/>
    </row>
    <row r="13" spans="2:8" x14ac:dyDescent="0.25">
      <c r="B13" s="9" t="s">
        <v>49</v>
      </c>
      <c r="C13" s="10"/>
      <c r="D13" s="10"/>
      <c r="E13" s="10"/>
      <c r="F13" s="11"/>
      <c r="G13" s="1"/>
      <c r="H13" s="12">
        <v>2</v>
      </c>
    </row>
    <row r="14" spans="2:8" ht="18.75" x14ac:dyDescent="0.35">
      <c r="B14" s="20" t="s">
        <v>17</v>
      </c>
      <c r="C14" s="21"/>
      <c r="D14" s="21"/>
      <c r="E14" s="21"/>
      <c r="F14" s="22"/>
      <c r="G14" s="1" t="s">
        <v>12</v>
      </c>
      <c r="H14" s="12">
        <v>1000</v>
      </c>
    </row>
    <row r="15" spans="2:8" ht="18" x14ac:dyDescent="0.35">
      <c r="B15" s="20" t="s">
        <v>18</v>
      </c>
      <c r="C15" s="21"/>
      <c r="D15" s="21"/>
      <c r="E15" s="21"/>
      <c r="F15" s="22"/>
      <c r="G15" s="1" t="s">
        <v>0</v>
      </c>
      <c r="H15" s="12">
        <v>0</v>
      </c>
    </row>
    <row r="16" spans="2:8" ht="18" x14ac:dyDescent="0.35">
      <c r="B16" s="20" t="s">
        <v>44</v>
      </c>
      <c r="C16" s="21"/>
      <c r="D16" s="21"/>
      <c r="E16" s="21"/>
      <c r="F16" s="22"/>
      <c r="G16" s="1" t="s">
        <v>1</v>
      </c>
      <c r="H16" s="14">
        <v>0.02</v>
      </c>
    </row>
    <row r="17" spans="2:8" ht="18" x14ac:dyDescent="0.35">
      <c r="B17" s="20" t="s">
        <v>45</v>
      </c>
      <c r="C17" s="21"/>
      <c r="D17" s="21"/>
      <c r="E17" s="21"/>
      <c r="F17" s="22"/>
      <c r="G17" s="1" t="s">
        <v>2</v>
      </c>
      <c r="H17" s="14">
        <v>7.0000000000000001E-3</v>
      </c>
    </row>
    <row r="18" spans="2:8" ht="18" x14ac:dyDescent="0.35">
      <c r="B18" s="20" t="s">
        <v>46</v>
      </c>
      <c r="C18" s="21"/>
      <c r="D18" s="21"/>
      <c r="E18" s="21"/>
      <c r="F18" s="22"/>
      <c r="G18" s="1" t="s">
        <v>3</v>
      </c>
      <c r="H18" s="14">
        <v>0.05</v>
      </c>
    </row>
    <row r="19" spans="2:8" ht="18" x14ac:dyDescent="0.35">
      <c r="B19" s="20" t="s">
        <v>47</v>
      </c>
      <c r="C19" s="21"/>
      <c r="D19" s="21"/>
      <c r="E19" s="21"/>
      <c r="F19" s="22"/>
      <c r="G19" s="1" t="s">
        <v>4</v>
      </c>
      <c r="H19" s="14">
        <v>2.5000000000000001E-2</v>
      </c>
    </row>
    <row r="20" spans="2:8" ht="18" x14ac:dyDescent="0.35">
      <c r="B20" s="20" t="s">
        <v>48</v>
      </c>
      <c r="C20" s="21"/>
      <c r="D20" s="21"/>
      <c r="E20" s="21"/>
      <c r="F20" s="22"/>
      <c r="G20" s="1" t="s">
        <v>6</v>
      </c>
      <c r="H20" s="14">
        <v>6.0000000000000001E-3</v>
      </c>
    </row>
    <row r="21" spans="2:8" ht="18" x14ac:dyDescent="0.35">
      <c r="B21" s="20" t="s">
        <v>27</v>
      </c>
      <c r="C21" s="21"/>
      <c r="D21" s="21"/>
      <c r="E21" s="21"/>
      <c r="F21" s="22"/>
      <c r="G21" s="1" t="s">
        <v>7</v>
      </c>
      <c r="H21" s="2">
        <f>SUM(H16:H20)</f>
        <v>0.10800000000000001</v>
      </c>
    </row>
    <row r="22" spans="2:8" ht="18" x14ac:dyDescent="0.35">
      <c r="B22" s="20" t="s">
        <v>19</v>
      </c>
      <c r="C22" s="21"/>
      <c r="D22" s="21"/>
      <c r="E22" s="21"/>
      <c r="F22" s="22"/>
      <c r="G22" s="3" t="s">
        <v>8</v>
      </c>
      <c r="H22" s="15">
        <v>0.3</v>
      </c>
    </row>
    <row r="23" spans="2:8" ht="18.75" x14ac:dyDescent="0.35">
      <c r="B23" s="20" t="s">
        <v>11</v>
      </c>
      <c r="C23" s="21"/>
      <c r="D23" s="21"/>
      <c r="E23" s="21"/>
      <c r="F23" s="22"/>
      <c r="G23" s="3" t="s">
        <v>10</v>
      </c>
      <c r="H23" s="16">
        <v>110</v>
      </c>
    </row>
    <row r="24" spans="2:8" ht="18" x14ac:dyDescent="0.35">
      <c r="B24" s="20" t="s">
        <v>63</v>
      </c>
      <c r="C24" s="21"/>
      <c r="D24" s="21"/>
      <c r="E24" s="21"/>
      <c r="F24" s="22"/>
      <c r="G24" s="3" t="s">
        <v>64</v>
      </c>
      <c r="H24" s="18">
        <f>1.2*H23</f>
        <v>132</v>
      </c>
    </row>
    <row r="25" spans="2:8" ht="18" x14ac:dyDescent="0.35">
      <c r="B25" s="23" t="s">
        <v>56</v>
      </c>
      <c r="C25" s="23"/>
      <c r="D25" s="23"/>
      <c r="E25" s="23"/>
      <c r="F25" s="23"/>
      <c r="G25" s="3" t="s">
        <v>57</v>
      </c>
      <c r="H25" s="17">
        <v>2.4E-2</v>
      </c>
    </row>
    <row r="26" spans="2:8" ht="18" x14ac:dyDescent="0.35">
      <c r="B26" s="23" t="s">
        <v>58</v>
      </c>
      <c r="C26" s="23"/>
      <c r="D26" s="23"/>
      <c r="E26" s="23"/>
      <c r="F26" s="23"/>
      <c r="G26" s="3" t="s">
        <v>57</v>
      </c>
      <c r="H26" s="17">
        <v>2.7E-2</v>
      </c>
    </row>
    <row r="27" spans="2:8" ht="18" x14ac:dyDescent="0.35">
      <c r="B27" s="23" t="s">
        <v>59</v>
      </c>
      <c r="C27" s="23"/>
      <c r="D27" s="23"/>
      <c r="E27" s="23"/>
      <c r="F27" s="23"/>
      <c r="G27" s="3" t="s">
        <v>60</v>
      </c>
      <c r="H27" s="17">
        <v>0.03</v>
      </c>
    </row>
    <row r="28" spans="2:8" ht="18" x14ac:dyDescent="0.35">
      <c r="B28" s="23" t="s">
        <v>61</v>
      </c>
      <c r="C28" s="23"/>
      <c r="D28" s="23"/>
      <c r="E28" s="23"/>
      <c r="F28" s="23"/>
      <c r="G28" s="3" t="s">
        <v>62</v>
      </c>
      <c r="H28" s="7">
        <f>IF(H13=2,0.024,(IF(H13=3,0.027,(IF(H13=4,0.03)))))</f>
        <v>2.4E-2</v>
      </c>
    </row>
    <row r="29" spans="2:8" ht="18" x14ac:dyDescent="0.35">
      <c r="B29" s="23" t="s">
        <v>70</v>
      </c>
      <c r="C29" s="23"/>
      <c r="D29" s="23"/>
      <c r="E29" s="23"/>
      <c r="F29" s="23"/>
      <c r="G29" s="3"/>
      <c r="H29" s="7">
        <v>6.8</v>
      </c>
    </row>
    <row r="30" spans="2:8" ht="18" x14ac:dyDescent="0.35">
      <c r="B30" s="23" t="s">
        <v>71</v>
      </c>
      <c r="C30" s="23"/>
      <c r="D30" s="23"/>
      <c r="E30" s="23"/>
      <c r="F30" s="23"/>
      <c r="G30" s="3"/>
      <c r="H30" s="7">
        <v>6.65</v>
      </c>
    </row>
    <row r="31" spans="2:8" ht="18" x14ac:dyDescent="0.35">
      <c r="B31" s="23" t="s">
        <v>72</v>
      </c>
      <c r="C31" s="23"/>
      <c r="D31" s="23"/>
      <c r="E31" s="23"/>
      <c r="F31" s="23"/>
      <c r="G31" s="3"/>
      <c r="H31" s="7">
        <v>6.5</v>
      </c>
    </row>
    <row r="32" spans="2:8" ht="18" x14ac:dyDescent="0.35">
      <c r="B32" s="23" t="s">
        <v>68</v>
      </c>
      <c r="C32" s="23"/>
      <c r="D32" s="23"/>
      <c r="E32" s="23"/>
      <c r="F32" s="23"/>
      <c r="G32" s="3"/>
      <c r="H32" s="7">
        <f>IF(H13=2,H29,(IF(H13=3,H30,(IF(H13=4,H31)))))</f>
        <v>6.8</v>
      </c>
    </row>
    <row r="33" spans="2:8" ht="18" x14ac:dyDescent="0.35">
      <c r="B33" s="23" t="s">
        <v>65</v>
      </c>
      <c r="C33" s="23"/>
      <c r="D33" s="23"/>
      <c r="E33" s="23"/>
      <c r="F33" s="23"/>
      <c r="G33" s="3"/>
      <c r="H33" s="7">
        <v>1.012</v>
      </c>
    </row>
    <row r="34" spans="2:8" ht="18" x14ac:dyDescent="0.35">
      <c r="B34" s="23" t="s">
        <v>66</v>
      </c>
      <c r="C34" s="23"/>
      <c r="D34" s="23"/>
      <c r="E34" s="23"/>
      <c r="F34" s="23"/>
      <c r="G34" s="3"/>
      <c r="H34" s="7">
        <v>1.0129999999999999</v>
      </c>
    </row>
    <row r="35" spans="2:8" ht="18" x14ac:dyDescent="0.35">
      <c r="B35" s="23" t="s">
        <v>67</v>
      </c>
      <c r="C35" s="23"/>
      <c r="D35" s="23"/>
      <c r="E35" s="23"/>
      <c r="F35" s="23"/>
      <c r="G35" s="3"/>
      <c r="H35" s="7">
        <v>1.014</v>
      </c>
    </row>
    <row r="36" spans="2:8" ht="18" x14ac:dyDescent="0.35">
      <c r="B36" s="23" t="s">
        <v>69</v>
      </c>
      <c r="C36" s="23"/>
      <c r="D36" s="23"/>
      <c r="E36" s="23"/>
      <c r="F36" s="23"/>
      <c r="G36" s="3"/>
      <c r="H36" s="7">
        <f>IF(H13=2,H33,(IF(H17=3,H34,(IF(H17=4,H35)))))</f>
        <v>1.012</v>
      </c>
    </row>
    <row r="37" spans="2:8" ht="18" x14ac:dyDescent="0.35">
      <c r="B37" s="20" t="s">
        <v>73</v>
      </c>
      <c r="C37" s="21"/>
      <c r="D37" s="21"/>
      <c r="E37" s="21"/>
      <c r="F37" s="22"/>
      <c r="G37" s="3"/>
      <c r="H37" s="5">
        <f>H24/H36</f>
        <v>130.43478260869566</v>
      </c>
    </row>
    <row r="38" spans="2:8" ht="18.75" x14ac:dyDescent="0.35">
      <c r="B38" s="20" t="s">
        <v>80</v>
      </c>
      <c r="C38" s="21"/>
      <c r="D38" s="21"/>
      <c r="E38" s="21"/>
      <c r="F38" s="22"/>
      <c r="G38" s="3"/>
      <c r="H38" s="5">
        <f>(H37*1.69)^2</f>
        <v>48591.493383742913</v>
      </c>
    </row>
    <row r="39" spans="2:8" ht="18" x14ac:dyDescent="0.35">
      <c r="B39" s="23" t="s">
        <v>74</v>
      </c>
      <c r="C39" s="23"/>
      <c r="D39" s="23"/>
      <c r="E39" s="23"/>
      <c r="F39" s="23"/>
      <c r="G39" s="3"/>
      <c r="H39" s="6">
        <f>(H37+H24)/2*1.69*H32</f>
        <v>1507.950260869565</v>
      </c>
    </row>
    <row r="40" spans="2:8" ht="18.75" x14ac:dyDescent="0.35">
      <c r="B40" s="20" t="s">
        <v>81</v>
      </c>
      <c r="C40" s="21"/>
      <c r="D40" s="21"/>
      <c r="E40" s="21"/>
      <c r="F40" s="22"/>
      <c r="G40" s="3"/>
      <c r="H40" s="7">
        <f>($H$37-120)/20*(G58-F58)+F58</f>
        <v>8.0072162884440579E-2</v>
      </c>
    </row>
    <row r="41" spans="2:8" ht="18.75" x14ac:dyDescent="0.35">
      <c r="B41" s="20" t="s">
        <v>82</v>
      </c>
      <c r="C41" s="21"/>
      <c r="D41" s="21"/>
      <c r="E41" s="21"/>
      <c r="F41" s="22"/>
      <c r="G41" s="3"/>
      <c r="H41" s="7">
        <f>($H$37-120)/20*(G64-F64)+F64</f>
        <v>0.21636598462528209</v>
      </c>
    </row>
    <row r="43" spans="2:8" x14ac:dyDescent="0.25">
      <c r="B43" s="29" t="s">
        <v>75</v>
      </c>
      <c r="C43" s="30"/>
      <c r="D43" s="30"/>
      <c r="E43" s="30"/>
      <c r="F43" s="30"/>
      <c r="G43" s="30"/>
    </row>
    <row r="44" spans="2:8" ht="18" x14ac:dyDescent="0.35">
      <c r="B44" s="1" t="s">
        <v>24</v>
      </c>
      <c r="C44" s="12">
        <v>0</v>
      </c>
      <c r="D44" s="12">
        <v>40</v>
      </c>
      <c r="E44" s="12">
        <v>80</v>
      </c>
      <c r="F44" s="12">
        <v>120</v>
      </c>
      <c r="G44" s="12">
        <v>140</v>
      </c>
    </row>
    <row r="45" spans="2:8" x14ac:dyDescent="0.25">
      <c r="B45" s="1" t="s">
        <v>20</v>
      </c>
      <c r="C45" s="7">
        <f>C44/661.5</f>
        <v>0</v>
      </c>
      <c r="D45" s="7">
        <f t="shared" ref="D45:G45" si="0">D44/661.5</f>
        <v>6.0468631897203327E-2</v>
      </c>
      <c r="E45" s="7">
        <f t="shared" si="0"/>
        <v>0.12093726379440665</v>
      </c>
      <c r="F45" s="7">
        <f t="shared" si="0"/>
        <v>0.18140589569160998</v>
      </c>
      <c r="G45" s="7">
        <f t="shared" si="0"/>
        <v>0.21164021164021163</v>
      </c>
    </row>
    <row r="46" spans="2:8" x14ac:dyDescent="0.25">
      <c r="B46" s="1" t="s">
        <v>21</v>
      </c>
      <c r="C46" s="13">
        <v>13500</v>
      </c>
      <c r="D46" s="13">
        <v>13200</v>
      </c>
      <c r="E46" s="13">
        <v>12700</v>
      </c>
      <c r="F46" s="13">
        <v>12300</v>
      </c>
      <c r="G46" s="13">
        <v>12100</v>
      </c>
    </row>
    <row r="47" spans="2:8" ht="18" x14ac:dyDescent="0.35">
      <c r="B47" s="1" t="s">
        <v>22</v>
      </c>
      <c r="C47" s="6">
        <f>C46*$H13</f>
        <v>27000</v>
      </c>
      <c r="D47" s="6">
        <f>D46*$H13</f>
        <v>26400</v>
      </c>
      <c r="E47" s="6">
        <f>E46*$H13</f>
        <v>25400</v>
      </c>
      <c r="F47" s="6">
        <f>F46*$H13</f>
        <v>24600</v>
      </c>
      <c r="G47" s="6">
        <f>G46*$H13</f>
        <v>24200</v>
      </c>
    </row>
    <row r="48" spans="2:8" ht="18" x14ac:dyDescent="0.35">
      <c r="B48" s="1" t="s">
        <v>5</v>
      </c>
      <c r="C48" s="2">
        <f>0+$H10</f>
        <v>5.8500000000000003E-2</v>
      </c>
      <c r="D48" s="2">
        <f>0+$H10</f>
        <v>5.8500000000000003E-2</v>
      </c>
      <c r="E48" s="2">
        <f>0+$H10</f>
        <v>5.8500000000000003E-2</v>
      </c>
      <c r="F48" s="2">
        <f>0+$H10</f>
        <v>5.8500000000000003E-2</v>
      </c>
      <c r="G48" s="2">
        <f>0+$H10</f>
        <v>5.8500000000000003E-2</v>
      </c>
    </row>
    <row r="49" spans="2:7" ht="17.25" x14ac:dyDescent="0.25">
      <c r="B49" s="8" t="s">
        <v>23</v>
      </c>
      <c r="C49" s="4">
        <f>1481*C45^2</f>
        <v>0</v>
      </c>
      <c r="D49" s="4">
        <f t="shared" ref="D49:G49" si="1">1481*D45^2</f>
        <v>5.4152105118523437</v>
      </c>
      <c r="E49" s="4">
        <f t="shared" si="1"/>
        <v>21.660842047409375</v>
      </c>
      <c r="F49" s="4">
        <f t="shared" si="1"/>
        <v>48.736894606671093</v>
      </c>
      <c r="G49" s="4">
        <f t="shared" si="1"/>
        <v>66.336328770191201</v>
      </c>
    </row>
    <row r="50" spans="2:7" x14ac:dyDescent="0.25">
      <c r="B50" s="8" t="s">
        <v>25</v>
      </c>
      <c r="C50" s="5">
        <f>C48*C49*$H14</f>
        <v>0</v>
      </c>
      <c r="D50" s="5">
        <f>D48*D49*$H14</f>
        <v>316.7898149433621</v>
      </c>
      <c r="E50" s="5">
        <f>E48*E49*$H14</f>
        <v>1267.1592597734484</v>
      </c>
      <c r="F50" s="5">
        <f>F48*F49*$H14</f>
        <v>2851.108334490259</v>
      </c>
      <c r="G50" s="5">
        <f>G48*G49*$H14</f>
        <v>3880.6752330561853</v>
      </c>
    </row>
    <row r="51" spans="2:7" ht="18" x14ac:dyDescent="0.35">
      <c r="B51" s="8" t="s">
        <v>0</v>
      </c>
      <c r="C51" s="1">
        <f>$H9</f>
        <v>0.35499999999999998</v>
      </c>
      <c r="D51" s="1">
        <f>$H9</f>
        <v>0.35499999999999998</v>
      </c>
      <c r="E51" s="1">
        <f>$H9</f>
        <v>0.35499999999999998</v>
      </c>
      <c r="F51" s="1">
        <f>$H9</f>
        <v>0.35499999999999998</v>
      </c>
      <c r="G51" s="1">
        <f>$H9</f>
        <v>0.35499999999999998</v>
      </c>
    </row>
    <row r="52" spans="2:7" x14ac:dyDescent="0.25">
      <c r="B52" s="8" t="s">
        <v>26</v>
      </c>
      <c r="C52" s="6">
        <f>C51*C49*$H14</f>
        <v>0</v>
      </c>
      <c r="D52" s="6">
        <f>D51*D49*$H14</f>
        <v>1922.3997317075819</v>
      </c>
      <c r="E52" s="6">
        <f>E51*E49*$H14</f>
        <v>7689.5989268303274</v>
      </c>
      <c r="F52" s="6">
        <f>F51*F49*$H14</f>
        <v>17301.597585368239</v>
      </c>
      <c r="G52" s="6">
        <f>G51*G49*$H14</f>
        <v>23549.396713417875</v>
      </c>
    </row>
    <row r="53" spans="2:7" ht="18" x14ac:dyDescent="0.35">
      <c r="B53" s="1" t="s">
        <v>29</v>
      </c>
      <c r="C53" s="6">
        <f>$H8</f>
        <v>100000</v>
      </c>
      <c r="D53" s="6">
        <f>$H8</f>
        <v>100000</v>
      </c>
      <c r="E53" s="6">
        <f>$H8</f>
        <v>100000</v>
      </c>
      <c r="F53" s="6">
        <f>$H8</f>
        <v>100000</v>
      </c>
      <c r="G53" s="6">
        <f>$H8</f>
        <v>100000</v>
      </c>
    </row>
    <row r="54" spans="2:7" x14ac:dyDescent="0.25">
      <c r="B54" s="1" t="s">
        <v>30</v>
      </c>
      <c r="C54" s="6">
        <f>C53-C52</f>
        <v>100000</v>
      </c>
      <c r="D54" s="6">
        <f t="shared" ref="D54:G54" si="2">D53-D52</f>
        <v>98077.600268292415</v>
      </c>
      <c r="E54" s="6">
        <f t="shared" si="2"/>
        <v>92310.401073169676</v>
      </c>
      <c r="F54" s="6">
        <f t="shared" si="2"/>
        <v>82698.402414631768</v>
      </c>
      <c r="G54" s="6">
        <f t="shared" si="2"/>
        <v>76450.603286582133</v>
      </c>
    </row>
    <row r="55" spans="2:7" ht="18" x14ac:dyDescent="0.35">
      <c r="B55" s="1" t="s">
        <v>31</v>
      </c>
      <c r="C55" s="6">
        <f>C54*$H11</f>
        <v>2000</v>
      </c>
      <c r="D55" s="6">
        <f>D54*$H11</f>
        <v>1961.5520053658483</v>
      </c>
      <c r="E55" s="6">
        <f>E54*$H11</f>
        <v>1846.2080214633936</v>
      </c>
      <c r="F55" s="6">
        <f>F54*$H11</f>
        <v>1653.9680482926353</v>
      </c>
      <c r="G55" s="6">
        <f>G54*$H11</f>
        <v>1529.0120657316427</v>
      </c>
    </row>
    <row r="56" spans="2:7" ht="18" x14ac:dyDescent="0.35">
      <c r="B56" s="3" t="s">
        <v>38</v>
      </c>
      <c r="C56" s="6">
        <f>C47-C55-C50</f>
        <v>25000</v>
      </c>
      <c r="D56" s="6">
        <f t="shared" ref="D56:G56" si="3">D47-D55-D50</f>
        <v>24121.658179690792</v>
      </c>
      <c r="E56" s="6">
        <f t="shared" si="3"/>
        <v>22286.632718763158</v>
      </c>
      <c r="F56" s="6">
        <f t="shared" si="3"/>
        <v>20094.923617217108</v>
      </c>
      <c r="G56" s="6">
        <f t="shared" si="3"/>
        <v>18790.312701212169</v>
      </c>
    </row>
    <row r="57" spans="2:7" ht="17.25" x14ac:dyDescent="0.25">
      <c r="B57" s="3" t="s">
        <v>32</v>
      </c>
      <c r="C57" s="4">
        <f>$H7/$H8*C56</f>
        <v>8.0500000000000007</v>
      </c>
      <c r="D57" s="4">
        <f>$H7/$H8*D56</f>
        <v>7.7671739338604358</v>
      </c>
      <c r="E57" s="4">
        <f>$H7/$H8*E56</f>
        <v>7.1762957354417374</v>
      </c>
      <c r="F57" s="4">
        <f>$H7/$H8*F56</f>
        <v>6.4705654047439092</v>
      </c>
      <c r="G57" s="4">
        <f>$H7/$H8*G56</f>
        <v>6.0504806897903194</v>
      </c>
    </row>
    <row r="58" spans="2:7" ht="17.25" x14ac:dyDescent="0.25">
      <c r="B58" s="3" t="s">
        <v>35</v>
      </c>
      <c r="C58" s="2">
        <f>1/(2*C57)</f>
        <v>6.2111801242236017E-2</v>
      </c>
      <c r="D58" s="2">
        <f t="shared" ref="D58:G58" si="4">1/(2*D57)</f>
        <v>6.4373477954483033E-2</v>
      </c>
      <c r="E58" s="2">
        <f t="shared" si="4"/>
        <v>6.9673828731811938E-2</v>
      </c>
      <c r="F58" s="2">
        <f t="shared" si="4"/>
        <v>7.7272999919516139E-2</v>
      </c>
      <c r="G58" s="2">
        <f t="shared" si="4"/>
        <v>8.2638062268954635E-2</v>
      </c>
    </row>
    <row r="59" spans="2:7" ht="17.25" x14ac:dyDescent="0.25">
      <c r="B59" s="3" t="s">
        <v>37</v>
      </c>
      <c r="C59" s="6">
        <f>(1.6878*C44)^2</f>
        <v>0</v>
      </c>
      <c r="D59" s="6">
        <f t="shared" ref="D59:G59" si="5">(1.6878*D44)^2</f>
        <v>4557.8701440000004</v>
      </c>
      <c r="E59" s="6">
        <f t="shared" si="5"/>
        <v>18231.480576000002</v>
      </c>
      <c r="F59" s="6">
        <f t="shared" si="5"/>
        <v>41020.831296000004</v>
      </c>
      <c r="G59" s="6">
        <f t="shared" si="5"/>
        <v>55833.909264000002</v>
      </c>
    </row>
    <row r="61" spans="2:7" x14ac:dyDescent="0.25">
      <c r="B61" s="29" t="s">
        <v>76</v>
      </c>
      <c r="C61" s="30"/>
      <c r="D61" s="30"/>
      <c r="E61" s="30"/>
      <c r="F61" s="30"/>
      <c r="G61" s="30"/>
    </row>
    <row r="62" spans="2:7" ht="18" x14ac:dyDescent="0.35">
      <c r="B62" s="1" t="s">
        <v>40</v>
      </c>
      <c r="C62" s="6">
        <f>C56-C46</f>
        <v>11500</v>
      </c>
      <c r="D62" s="6">
        <f t="shared" ref="D62:G62" si="6">D56-D46</f>
        <v>10921.658179690792</v>
      </c>
      <c r="E62" s="6">
        <f t="shared" si="6"/>
        <v>9586.6327187631578</v>
      </c>
      <c r="F62" s="6">
        <f t="shared" si="6"/>
        <v>7794.9236172171077</v>
      </c>
      <c r="G62" s="6">
        <f t="shared" si="6"/>
        <v>6690.3127012121695</v>
      </c>
    </row>
    <row r="63" spans="2:7" ht="17.25" x14ac:dyDescent="0.25">
      <c r="B63" s="1" t="s">
        <v>39</v>
      </c>
      <c r="C63" s="4">
        <f>$H7/$H8*C62</f>
        <v>3.7030000000000003</v>
      </c>
      <c r="D63" s="4">
        <f>$H7/$H8*D62</f>
        <v>3.5167739338604354</v>
      </c>
      <c r="E63" s="4">
        <f>$H7/$H8*E62</f>
        <v>3.086895735441737</v>
      </c>
      <c r="F63" s="4">
        <f>$H7/$H8*F62</f>
        <v>2.5099654047439088</v>
      </c>
      <c r="G63" s="4">
        <f>$H7/$H8*G62</f>
        <v>2.1542806897903186</v>
      </c>
    </row>
    <row r="64" spans="2:7" ht="17.25" x14ac:dyDescent="0.25">
      <c r="B64" s="3" t="s">
        <v>35</v>
      </c>
      <c r="C64" s="7">
        <f>1/(2*C63)</f>
        <v>0.13502565487442614</v>
      </c>
      <c r="D64" s="7">
        <f t="shared" ref="D64:G64" si="7">1/(2*D63)</f>
        <v>0.14217575806788912</v>
      </c>
      <c r="E64" s="7">
        <f t="shared" si="7"/>
        <v>0.16197502049043119</v>
      </c>
      <c r="F64" s="7">
        <f t="shared" si="7"/>
        <v>0.19920593290050342</v>
      </c>
      <c r="G64" s="7">
        <f t="shared" si="7"/>
        <v>0.2320960320396625</v>
      </c>
    </row>
    <row r="66" spans="2:13" x14ac:dyDescent="0.25">
      <c r="B66" s="29" t="s">
        <v>77</v>
      </c>
      <c r="C66" s="30"/>
      <c r="D66" s="30"/>
      <c r="E66" s="30"/>
      <c r="F66" s="30"/>
      <c r="G66" s="30"/>
    </row>
    <row r="67" spans="2:13" ht="18" x14ac:dyDescent="0.35">
      <c r="B67" s="1" t="s">
        <v>5</v>
      </c>
      <c r="C67" s="2">
        <f>$H21</f>
        <v>0.10800000000000001</v>
      </c>
      <c r="D67" s="2">
        <f>$H21</f>
        <v>0.10800000000000001</v>
      </c>
      <c r="E67" s="2">
        <f>$H21</f>
        <v>0.10800000000000001</v>
      </c>
      <c r="F67" s="2">
        <f>$H21</f>
        <v>0.10800000000000001</v>
      </c>
      <c r="G67" s="2">
        <f>$H21</f>
        <v>0.10800000000000001</v>
      </c>
    </row>
    <row r="68" spans="2:13" x14ac:dyDescent="0.25">
      <c r="B68" s="1" t="s">
        <v>25</v>
      </c>
      <c r="C68" s="5">
        <f>C67*C49*$H14</f>
        <v>0</v>
      </c>
      <c r="D68" s="5">
        <f>D67*D49*$H14</f>
        <v>584.84273528005315</v>
      </c>
      <c r="E68" s="5">
        <f>E67*E49*$H14</f>
        <v>2339.3709411202126</v>
      </c>
      <c r="F68" s="5">
        <f>F67*F49*$H14</f>
        <v>5263.5846175204788</v>
      </c>
      <c r="G68" s="5">
        <f>G67*G49*$H14</f>
        <v>7164.3235071806512</v>
      </c>
    </row>
    <row r="69" spans="2:13" x14ac:dyDescent="0.25">
      <c r="B69" s="1" t="s">
        <v>41</v>
      </c>
      <c r="C69" s="6">
        <f>$H8</f>
        <v>100000</v>
      </c>
      <c r="D69" s="6">
        <f>$H8</f>
        <v>100000</v>
      </c>
      <c r="E69" s="6">
        <f>$H8</f>
        <v>100000</v>
      </c>
      <c r="F69" s="6">
        <f>$H8</f>
        <v>100000</v>
      </c>
      <c r="G69" s="6">
        <f>$H8</f>
        <v>100000</v>
      </c>
    </row>
    <row r="70" spans="2:13" ht="18" x14ac:dyDescent="0.35">
      <c r="B70" s="1" t="s">
        <v>31</v>
      </c>
      <c r="C70" s="6">
        <f>C69*$H22</f>
        <v>30000</v>
      </c>
      <c r="D70" s="6">
        <f>D69*$H22</f>
        <v>30000</v>
      </c>
      <c r="E70" s="6">
        <f>E69*$H22</f>
        <v>30000</v>
      </c>
      <c r="F70" s="6">
        <f>F69*$H22</f>
        <v>30000</v>
      </c>
      <c r="G70" s="6">
        <f>G69*$H22</f>
        <v>30000</v>
      </c>
      <c r="M70" s="31"/>
    </row>
    <row r="71" spans="2:13" ht="18" x14ac:dyDescent="0.35">
      <c r="B71" s="1" t="s">
        <v>42</v>
      </c>
      <c r="C71" s="6">
        <f>C70+C68</f>
        <v>30000</v>
      </c>
      <c r="D71" s="6">
        <f t="shared" ref="D71:G71" si="8">D70+D68</f>
        <v>30584.842735280054</v>
      </c>
      <c r="E71" s="6">
        <f t="shared" si="8"/>
        <v>32339.370941120214</v>
      </c>
      <c r="F71" s="6">
        <f t="shared" si="8"/>
        <v>35263.584617520479</v>
      </c>
      <c r="G71" s="6">
        <f t="shared" si="8"/>
        <v>37164.323507180648</v>
      </c>
    </row>
    <row r="72" spans="2:13" ht="17.25" x14ac:dyDescent="0.25">
      <c r="B72" s="1" t="s">
        <v>39</v>
      </c>
      <c r="C72" s="4">
        <f>-C71*$H7/$H8</f>
        <v>-9.6600000000000019</v>
      </c>
      <c r="D72" s="4">
        <f>-D71*$H7/$H8</f>
        <v>-9.8483193607601773</v>
      </c>
      <c r="E72" s="4">
        <f>-E71*$H7/$H8</f>
        <v>-10.413277443040709</v>
      </c>
      <c r="F72" s="4">
        <f>-F71*$H7/$H8</f>
        <v>-11.354874246841595</v>
      </c>
      <c r="G72" s="4">
        <f>-G71*$H7/$H8</f>
        <v>-11.966912169312169</v>
      </c>
    </row>
    <row r="73" spans="2:13" ht="17.25" x14ac:dyDescent="0.25">
      <c r="B73" s="1" t="s">
        <v>43</v>
      </c>
      <c r="C73" s="2">
        <f>1/(2*C72)</f>
        <v>-5.175983436853001E-2</v>
      </c>
      <c r="D73" s="2">
        <f t="shared" ref="D73:G73" si="9">1/(2*D72)</f>
        <v>-5.0770083877682629E-2</v>
      </c>
      <c r="E73" s="2">
        <f t="shared" si="9"/>
        <v>-4.801562262553128E-2</v>
      </c>
      <c r="F73" s="2">
        <f t="shared" si="9"/>
        <v>-4.4033953096316948E-2</v>
      </c>
      <c r="G73" s="2">
        <f t="shared" si="9"/>
        <v>-4.1781872627275986E-2</v>
      </c>
    </row>
    <row r="74" spans="2:13" ht="17.25" x14ac:dyDescent="0.25">
      <c r="B74" s="1" t="s">
        <v>36</v>
      </c>
      <c r="C74" s="6">
        <f>C59</f>
        <v>0</v>
      </c>
      <c r="D74" s="6">
        <f t="shared" ref="D74:G74" si="10">D59</f>
        <v>4557.8701440000004</v>
      </c>
      <c r="E74" s="6">
        <f t="shared" si="10"/>
        <v>18231.480576000002</v>
      </c>
      <c r="F74" s="6">
        <f t="shared" si="10"/>
        <v>41020.831296000004</v>
      </c>
      <c r="G74" s="6">
        <f t="shared" si="10"/>
        <v>55833.909264000002</v>
      </c>
    </row>
    <row r="76" spans="2:13" x14ac:dyDescent="0.25">
      <c r="B76" s="24" t="s">
        <v>78</v>
      </c>
      <c r="C76" s="25"/>
      <c r="D76" s="25"/>
      <c r="E76" s="25"/>
      <c r="F76" s="25"/>
      <c r="G76" s="26"/>
    </row>
    <row r="77" spans="2:13" ht="18" x14ac:dyDescent="0.35">
      <c r="B77" s="1" t="s">
        <v>50</v>
      </c>
      <c r="C77" s="1">
        <v>0</v>
      </c>
      <c r="D77" s="5">
        <f>(C58+D58)/2*D59</f>
        <v>288.251738853115</v>
      </c>
      <c r="E77" s="5">
        <f t="shared" ref="E77:G77" si="11">(D58+E58)/2*E59</f>
        <v>1221.9404340581509</v>
      </c>
      <c r="F77" s="5">
        <f t="shared" si="11"/>
        <v>3013.9405337941744</v>
      </c>
      <c r="G77" s="5">
        <f t="shared" si="11"/>
        <v>4464.2298682704695</v>
      </c>
    </row>
    <row r="78" spans="2:13" ht="18" x14ac:dyDescent="0.35">
      <c r="B78" s="1" t="s">
        <v>51</v>
      </c>
      <c r="C78" s="5">
        <v>0</v>
      </c>
      <c r="D78" s="5">
        <f>-(C73+D73)/2*D74</f>
        <v>233.65902662058673</v>
      </c>
      <c r="E78" s="5">
        <f t="shared" ref="E78:G78" si="12">-(D73+E73)/2*E74</f>
        <v>900.50484464989074</v>
      </c>
      <c r="F78" s="5">
        <f t="shared" si="12"/>
        <v>1887.9750582771569</v>
      </c>
      <c r="G78" s="5">
        <f t="shared" si="12"/>
        <v>2395.7165134331626</v>
      </c>
    </row>
    <row r="79" spans="2:13" x14ac:dyDescent="0.25">
      <c r="B79" s="1" t="s">
        <v>52</v>
      </c>
      <c r="C79" s="1">
        <v>0</v>
      </c>
      <c r="D79" s="5">
        <f>SUM(D77:D78)</f>
        <v>521.91076547370176</v>
      </c>
      <c r="E79" s="5">
        <f t="shared" ref="E79:G79" si="13">SUM(E77:E78)</f>
        <v>2122.4452787080418</v>
      </c>
      <c r="F79" s="5">
        <f t="shared" si="13"/>
        <v>4901.915592071331</v>
      </c>
      <c r="G79" s="5">
        <f t="shared" si="13"/>
        <v>6859.9463817036321</v>
      </c>
    </row>
    <row r="81" spans="2:7" ht="18" x14ac:dyDescent="0.35">
      <c r="B81" s="24" t="s">
        <v>79</v>
      </c>
      <c r="C81" s="27"/>
      <c r="D81" s="27"/>
      <c r="E81" s="27"/>
      <c r="F81" s="27"/>
      <c r="G81" s="28"/>
    </row>
    <row r="82" spans="2:7" ht="18" x14ac:dyDescent="0.35">
      <c r="B82" s="1" t="s">
        <v>50</v>
      </c>
      <c r="C82" s="1">
        <v>0</v>
      </c>
      <c r="D82" s="5">
        <f>(C58+D58)/2*D59</f>
        <v>288.251738853115</v>
      </c>
      <c r="E82" s="5">
        <f t="shared" ref="E82:G82" si="14">(D58+E58)/2*E59</f>
        <v>1221.9404340581509</v>
      </c>
      <c r="F82" s="5">
        <f t="shared" si="14"/>
        <v>3013.9405337941744</v>
      </c>
      <c r="G82" s="5">
        <f t="shared" si="14"/>
        <v>4464.2298682704695</v>
      </c>
    </row>
    <row r="83" spans="2:7" ht="18" x14ac:dyDescent="0.35">
      <c r="B83" s="1" t="s">
        <v>53</v>
      </c>
      <c r="C83" s="5">
        <f>H38*(H41+C64)/2</f>
        <v>8537.3222629263237</v>
      </c>
      <c r="D83" s="5">
        <f>(H38-D59)*(H41+D64)/2</f>
        <v>7893.9460067359732</v>
      </c>
      <c r="E83" s="5">
        <f>(H38-E59)*(H41+E64)/2</f>
        <v>5743.2188805036903</v>
      </c>
      <c r="F83" s="5">
        <f>(H38-F59)*(H41+E64)/2</f>
        <v>1432.1459518340382</v>
      </c>
      <c r="G83" s="5">
        <f>(H38-G59)*(H41+G41)/2</f>
        <v>-783.50622149880212</v>
      </c>
    </row>
    <row r="84" spans="2:7" x14ac:dyDescent="0.25">
      <c r="B84" s="1" t="s">
        <v>54</v>
      </c>
      <c r="C84" s="6">
        <f>$H39</f>
        <v>1507.950260869565</v>
      </c>
      <c r="D84" s="6">
        <f t="shared" ref="D84:G84" si="15">$H39</f>
        <v>1507.950260869565</v>
      </c>
      <c r="E84" s="6">
        <f t="shared" si="15"/>
        <v>1507.950260869565</v>
      </c>
      <c r="F84" s="6">
        <f t="shared" si="15"/>
        <v>1507.950260869565</v>
      </c>
      <c r="G84" s="6">
        <f t="shared" si="15"/>
        <v>1507.950260869565</v>
      </c>
    </row>
    <row r="85" spans="2:7" x14ac:dyDescent="0.25">
      <c r="B85" s="1" t="s">
        <v>55</v>
      </c>
      <c r="C85" s="5">
        <f>SUM(C82:C84)</f>
        <v>10045.272523795889</v>
      </c>
      <c r="D85" s="5">
        <f t="shared" ref="D85:G85" si="16">SUM(D82:D84)</f>
        <v>9690.148006458654</v>
      </c>
      <c r="E85" s="5">
        <f t="shared" si="16"/>
        <v>8473.1095754314065</v>
      </c>
      <c r="F85" s="5">
        <f t="shared" si="16"/>
        <v>5954.0367464977771</v>
      </c>
      <c r="G85" s="5">
        <f t="shared" si="16"/>
        <v>5188.6739076412323</v>
      </c>
    </row>
  </sheetData>
  <mergeCells count="39">
    <mergeCell ref="B40:F40"/>
    <mergeCell ref="B41:F41"/>
    <mergeCell ref="B7:F7"/>
    <mergeCell ref="B8:F8"/>
    <mergeCell ref="B9:F9"/>
    <mergeCell ref="B10:F10"/>
    <mergeCell ref="B11:F11"/>
    <mergeCell ref="B76:G76"/>
    <mergeCell ref="B81:G81"/>
    <mergeCell ref="B25:F25"/>
    <mergeCell ref="B26:F26"/>
    <mergeCell ref="B27:F27"/>
    <mergeCell ref="B28:F28"/>
    <mergeCell ref="B33:F33"/>
    <mergeCell ref="B34:F34"/>
    <mergeCell ref="B35:F35"/>
    <mergeCell ref="B39:F39"/>
    <mergeCell ref="B36:F36"/>
    <mergeCell ref="B37:F37"/>
    <mergeCell ref="B43:G43"/>
    <mergeCell ref="B61:G61"/>
    <mergeCell ref="B66:G66"/>
    <mergeCell ref="B38:F38"/>
    <mergeCell ref="B12:F12"/>
    <mergeCell ref="B29:F29"/>
    <mergeCell ref="B30:F30"/>
    <mergeCell ref="B31:F31"/>
    <mergeCell ref="B32:F32"/>
    <mergeCell ref="B14:F14"/>
    <mergeCell ref="B15:F15"/>
    <mergeCell ref="B16:F16"/>
    <mergeCell ref="B17:F17"/>
    <mergeCell ref="B18:F18"/>
    <mergeCell ref="B19:F19"/>
    <mergeCell ref="B20:F20"/>
    <mergeCell ref="B24:F24"/>
    <mergeCell ref="B23:F23"/>
    <mergeCell ref="B22:F22"/>
    <mergeCell ref="B21:F2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Hays</dc:creator>
  <cp:lastModifiedBy>Tony Hays</cp:lastModifiedBy>
  <dcterms:created xsi:type="dcterms:W3CDTF">2019-10-15T16:12:16Z</dcterms:created>
  <dcterms:modified xsi:type="dcterms:W3CDTF">2019-10-18T07:13:24Z</dcterms:modified>
</cp:coreProperties>
</file>